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6" firstSheet="1" activeTab="18"/>
  </bookViews>
  <sheets>
    <sheet name="lib0GT" sheetId="1" state="hidden" r:id="rId1"/>
    <sheet name="政府决算报表封皮" sheetId="2" r:id="rId2"/>
    <sheet name="一般公共财政决算封皮" sheetId="3" r:id="rId3"/>
    <sheet name="2017年一般公共财政收入" sheetId="4" r:id="rId4"/>
    <sheet name="2017年全辖决算支出表" sheetId="5" r:id="rId5"/>
    <sheet name="2017年区本级支出决算表" sheetId="6" r:id="rId6"/>
    <sheet name="2017年区本级支出-基本和项目" sheetId="7" r:id="rId7"/>
    <sheet name="2017年镇体制决算表" sheetId="8" r:id="rId8"/>
    <sheet name="市对区一般公共预算税收返还和转移支付表" sheetId="9" r:id="rId9"/>
    <sheet name="2017年区对镇补助支出" sheetId="10" r:id="rId10"/>
    <sheet name="2017年经济分类决算表" sheetId="11" r:id="rId11"/>
    <sheet name="2017年政府性基金决算封皮" sheetId="12" r:id="rId12"/>
    <sheet name="2017年基金收入决算" sheetId="13" r:id="rId13"/>
    <sheet name="2017年基金支出-全区" sheetId="14" r:id="rId14"/>
    <sheet name="2017年基金支出-区本级" sheetId="15" r:id="rId15"/>
    <sheet name="市对区政府性基金转移支付表" sheetId="16" r:id="rId16"/>
    <sheet name="2017年三公经费决算表" sheetId="17" r:id="rId17"/>
    <sheet name="2017年政府债务情况表" sheetId="18" r:id="rId18"/>
    <sheet name="2017年国有资本经营决算表封皮" sheetId="19" r:id="rId19"/>
    <sheet name="2017年国有资本经营收入决算表" sheetId="20" r:id="rId20"/>
    <sheet name="2017年国有资本经营支出决算表" sheetId="21" r:id="rId21"/>
    <sheet name="社会保险基金决算表封皮" sheetId="22" r:id="rId22"/>
    <sheet name="社保基金收入决算表" sheetId="23" r:id="rId23"/>
    <sheet name="社保基金支出决算表" sheetId="24" r:id="rId24"/>
  </sheets>
  <definedNames>
    <definedName name="_xlnm._FilterDatabase" localSheetId="6" hidden="1">'2017年区本级支出-基本和项目'!$A$5:$G$742</definedName>
    <definedName name="_xlnm._FilterDatabase" localSheetId="5" hidden="1">'2017年区本级支出决算表'!$A$5:$L$69</definedName>
    <definedName name="_xlnm._FilterDatabase" localSheetId="8" hidden="1">'市对区一般公共预算税收返还和转移支付表'!$A$11:$G$256</definedName>
    <definedName name="_xlnm.Print_Area" localSheetId="5">'2017年区本级支出决算表'!$A$1:$I$69</definedName>
    <definedName name="_xlnm.Print_Titles" localSheetId="14">'2017年基金支出-区本级'!$1:$4</definedName>
    <definedName name="_xlnm.Print_Titles" localSheetId="13">'2017年基金支出-全区'!$1:$4</definedName>
    <definedName name="_xlnm.Print_Titles" localSheetId="10">'2017年经济分类决算表'!$1:$4</definedName>
    <definedName name="_xlnm.Print_Titles" localSheetId="6">'2017年区本级支出-基本和项目'!$1:$5</definedName>
    <definedName name="_xlnm.Print_Titles" localSheetId="5">'2017年区本级支出决算表'!$1:$5</definedName>
    <definedName name="_xlnm.Print_Titles" localSheetId="9">'2017年区对镇补助支出'!$1:$4</definedName>
    <definedName name="_xlnm.Print_Titles" localSheetId="4">'2017年全辖决算支出表'!$1:$4</definedName>
    <definedName name="_xlnm.Print_Titles" localSheetId="3">'2017年一般公共财政收入'!$1:$4</definedName>
    <definedName name="_xlnm.Print_Titles" localSheetId="7">'2017年镇体制决算表'!$1:$4</definedName>
    <definedName name="_xlnm.Print_Titles" localSheetId="8">'市对区一般公共预算税收返还和转移支付表'!$1:$5</definedName>
  </definedNames>
  <calcPr fullCalcOnLoad="1" fullPrecision="0"/>
</workbook>
</file>

<file path=xl/comments13.xml><?xml version="1.0" encoding="utf-8"?>
<comments xmlns="http://schemas.openxmlformats.org/spreadsheetml/2006/main">
  <authors>
    <author>作者</author>
  </authors>
  <commentList>
    <comment ref="C11" authorId="0">
      <text>
        <r>
          <rPr>
            <b/>
            <sz val="9"/>
            <rFont val="宋体"/>
            <family val="0"/>
          </rPr>
          <t>+净收益439.79-计提教育农田水利保障性安居1295.60-计提收益基金175.17-计提农业土地开发资金1167.8</t>
        </r>
      </text>
    </comment>
    <comment ref="C12" authorId="0">
      <text>
        <r>
          <rPr>
            <b/>
            <sz val="9"/>
            <rFont val="宋体"/>
            <family val="0"/>
          </rPr>
          <t>+成本1305.21</t>
        </r>
      </text>
    </comment>
    <comment ref="C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本级结转</t>
        </r>
        <r>
          <rPr>
            <sz val="9"/>
            <rFont val="Tahoma"/>
            <family val="2"/>
          </rPr>
          <t>86857.227248+</t>
        </r>
        <r>
          <rPr>
            <sz val="9"/>
            <rFont val="宋体"/>
            <family val="0"/>
          </rPr>
          <t>镇级结转</t>
        </r>
        <r>
          <rPr>
            <sz val="9"/>
            <rFont val="Tahoma"/>
            <family val="2"/>
          </rPr>
          <t>4131.239392</t>
        </r>
        <r>
          <rPr>
            <sz val="9"/>
            <rFont val="宋体"/>
            <family val="0"/>
          </rPr>
          <t>万</t>
        </r>
      </text>
    </comment>
    <comment ref="B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部门上缴574.728499万+346.60万2016年债券发行费+专项债券利息11295.78万，土地审计上缴业务费3028.508478万</t>
        </r>
      </text>
    </comment>
    <comment ref="D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本级结转</t>
        </r>
        <r>
          <rPr>
            <sz val="9"/>
            <rFont val="Tahoma"/>
            <family val="2"/>
          </rPr>
          <t>86857.227248+</t>
        </r>
        <r>
          <rPr>
            <sz val="9"/>
            <rFont val="宋体"/>
            <family val="0"/>
          </rPr>
          <t>镇级结转</t>
        </r>
        <r>
          <rPr>
            <sz val="9"/>
            <rFont val="Tahoma"/>
            <family val="2"/>
          </rPr>
          <t>4131.239392</t>
        </r>
        <r>
          <rPr>
            <sz val="9"/>
            <rFont val="宋体"/>
            <family val="0"/>
          </rPr>
          <t>万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37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11.5</t>
        </r>
        <r>
          <rPr>
            <sz val="9"/>
            <rFont val="宋体"/>
            <family val="0"/>
          </rPr>
          <t>日专项</t>
        </r>
      </text>
    </comment>
  </commentList>
</comments>
</file>

<file path=xl/sharedStrings.xml><?xml version="1.0" encoding="utf-8"?>
<sst xmlns="http://schemas.openxmlformats.org/spreadsheetml/2006/main" count="2204" uniqueCount="1475">
  <si>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</si>
  <si>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</si>
  <si>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</si>
  <si>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</si>
  <si>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</si>
  <si>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</si>
  <si>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</si>
  <si>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</si>
  <si>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</si>
  <si>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</si>
  <si>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</si>
  <si>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</si>
  <si>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 xml:space="preserve">    其中：保险费收入</t>
  </si>
  <si>
    <t>决算情况表</t>
  </si>
  <si>
    <t>执行预算</t>
  </si>
  <si>
    <t>社 会 保 险 基 金 支 出 合 计</t>
  </si>
  <si>
    <t>执行预算</t>
  </si>
  <si>
    <t>一般预算支出小计</t>
  </si>
  <si>
    <t xml:space="preserve">  233 债务发行费用支出</t>
  </si>
  <si>
    <t>债务还本支出小计</t>
  </si>
  <si>
    <t>完成年初预算%</t>
  </si>
  <si>
    <t>一般预算支出</t>
  </si>
  <si>
    <t xml:space="preserve">      20101 人大事务</t>
  </si>
  <si>
    <t xml:space="preserve">        2010101 行政运行</t>
  </si>
  <si>
    <t xml:space="preserve">      20102 政协事务</t>
  </si>
  <si>
    <t xml:space="preserve">        2010201 行政运行</t>
  </si>
  <si>
    <t xml:space="preserve">      20103 政府办公厅（室）及相关机构事务</t>
  </si>
  <si>
    <t xml:space="preserve">        2010301 行政运行</t>
  </si>
  <si>
    <t xml:space="preserve">        2010303 机关服务</t>
  </si>
  <si>
    <t xml:space="preserve">        2010350 事业运行</t>
  </si>
  <si>
    <t xml:space="preserve">      20104 发展与改革事务</t>
  </si>
  <si>
    <t xml:space="preserve">        2010401 行政运行</t>
  </si>
  <si>
    <t xml:space="preserve">        2010450 事业运行</t>
  </si>
  <si>
    <t xml:space="preserve">      20105 统计信息事务</t>
  </si>
  <si>
    <t xml:space="preserve">        2010501 行政运行</t>
  </si>
  <si>
    <t xml:space="preserve">        2010550 事业运行</t>
  </si>
  <si>
    <t xml:space="preserve">      20106 财政事务</t>
  </si>
  <si>
    <t>表二：</t>
  </si>
  <si>
    <t>表三：</t>
  </si>
  <si>
    <t>表四：</t>
  </si>
  <si>
    <t>项目</t>
  </si>
  <si>
    <t>年度预算</t>
  </si>
  <si>
    <t>调整预算</t>
  </si>
  <si>
    <t>执行数</t>
  </si>
  <si>
    <t>完成年初预算%</t>
  </si>
  <si>
    <t>完成调整预算%</t>
  </si>
  <si>
    <t>政府性基金收入合计</t>
  </si>
  <si>
    <t>散装水泥专项资金收入</t>
  </si>
  <si>
    <t>新型墙体材料专项基金收入</t>
  </si>
  <si>
    <t>国有土地收益基金收入</t>
  </si>
  <si>
    <t>农业土地开发资金收入</t>
  </si>
  <si>
    <t>国有土地使用权出让收入</t>
  </si>
  <si>
    <t>土地出让政府净收益</t>
  </si>
  <si>
    <t>土地收购整理成本</t>
  </si>
  <si>
    <t>新增建设用地有偿使用费</t>
  </si>
  <si>
    <t>其他土地出让收入</t>
  </si>
  <si>
    <t>加：</t>
  </si>
  <si>
    <t>1、转移支付收入</t>
  </si>
  <si>
    <t>2、上年结转结余收入（区本级）</t>
  </si>
  <si>
    <t>3、调入资金</t>
  </si>
  <si>
    <t>减：</t>
  </si>
  <si>
    <t>1、2014年结转的政府性基金转列一般</t>
  </si>
  <si>
    <t>2、30%政府性基金调至一般预算</t>
  </si>
  <si>
    <t>政府性基金财力合计</t>
  </si>
  <si>
    <t>专项债券转贷收入</t>
  </si>
  <si>
    <t>总计</t>
  </si>
  <si>
    <t>年初预算</t>
  </si>
  <si>
    <t>预计支出</t>
  </si>
  <si>
    <t>决算安排数</t>
  </si>
  <si>
    <t xml:space="preserve">      2296004 用于教育事业的彩票公益金支出</t>
  </si>
  <si>
    <t xml:space="preserve">      2296099 用于其他社会公益事业的彩票公益金支出</t>
  </si>
  <si>
    <t xml:space="preserve">      2330411 国有土地使用权出让金债务发行费用支出</t>
  </si>
  <si>
    <t>天津市北辰区人民政府2017年决算报表</t>
  </si>
  <si>
    <t>编制时间：2018年6月18日</t>
  </si>
  <si>
    <t>天津市北辰区2017年一般公共财政决算情况表</t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</si>
  <si>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年决算</t>
    </r>
  </si>
  <si>
    <r>
      <t>决算为201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年决算%</t>
    </r>
  </si>
  <si>
    <t>4、营改增政策基数补助</t>
  </si>
  <si>
    <t>7、上解支出</t>
  </si>
  <si>
    <t>各镇调入部门盘活资金</t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</si>
  <si>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</t>
    </r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</si>
  <si>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年决算支出</t>
    </r>
  </si>
  <si>
    <t>金额</t>
  </si>
  <si>
    <t>因公出国（境）费</t>
  </si>
  <si>
    <t>公务用车</t>
  </si>
  <si>
    <t>公务接待费</t>
  </si>
  <si>
    <t>小计</t>
  </si>
  <si>
    <t>公务用车购置费</t>
  </si>
  <si>
    <t>公车运行维护费</t>
  </si>
  <si>
    <t>表十三：</t>
  </si>
  <si>
    <t>合计</t>
  </si>
  <si>
    <t>政府债券</t>
  </si>
  <si>
    <t>国有企事业单位债务等</t>
  </si>
  <si>
    <t>（一）一般债务</t>
  </si>
  <si>
    <t>（二）专项债务</t>
  </si>
  <si>
    <t>表十五:</t>
  </si>
  <si>
    <t>表十六:</t>
  </si>
  <si>
    <t xml:space="preserve">      2296004 用于教育事业的彩票公益金支出</t>
  </si>
  <si>
    <t xml:space="preserve">      2296099 用于其他社会公益事业的彩票公益金支出</t>
  </si>
  <si>
    <t xml:space="preserve">      2330411 国有土地使用权出让金债务发行费用支出</t>
  </si>
  <si>
    <t xml:space="preserve">        2010601 行政运行</t>
  </si>
  <si>
    <t xml:space="preserve">        2010650 事业运行</t>
  </si>
  <si>
    <t xml:space="preserve">      20107 税收事务</t>
  </si>
  <si>
    <t xml:space="preserve">        2010701 行政运行</t>
  </si>
  <si>
    <t xml:space="preserve">      20108 审计事务</t>
  </si>
  <si>
    <t xml:space="preserve">        2010801 行政运行</t>
  </si>
  <si>
    <t xml:space="preserve">        2010850 事业运行</t>
  </si>
  <si>
    <t xml:space="preserve">      20110 人力资源事务</t>
  </si>
  <si>
    <t xml:space="preserve">        2011001 行政运行</t>
  </si>
  <si>
    <t xml:space="preserve">        2011050 事业运行</t>
  </si>
  <si>
    <t xml:space="preserve">      20111 纪检监察事务</t>
  </si>
  <si>
    <t xml:space="preserve">        2011101 行政运行</t>
  </si>
  <si>
    <t xml:space="preserve">      20113 商贸事务</t>
  </si>
  <si>
    <t xml:space="preserve">        2011301 行政运行</t>
  </si>
  <si>
    <t xml:space="preserve">        2011308 招商引资</t>
  </si>
  <si>
    <t xml:space="preserve">      20126 档案事务</t>
  </si>
  <si>
    <t xml:space="preserve">        2012601 行政运行</t>
  </si>
  <si>
    <t xml:space="preserve">        2012604 档案馆</t>
  </si>
  <si>
    <t xml:space="preserve">      20128 民主党派及工商联事务</t>
  </si>
  <si>
    <t xml:space="preserve">        2012801 行政运行</t>
  </si>
  <si>
    <t xml:space="preserve">      20129 群众团体事务</t>
  </si>
  <si>
    <t xml:space="preserve">        2012901 行政运行</t>
  </si>
  <si>
    <t xml:space="preserve">        2012950 事业运行</t>
  </si>
  <si>
    <t xml:space="preserve">      20131 党委办公厅（室）及相关机构事务</t>
  </si>
  <si>
    <t xml:space="preserve">        2013101 行政运行</t>
  </si>
  <si>
    <t xml:space="preserve">        2013150 事业运行</t>
  </si>
  <si>
    <t xml:space="preserve">      20132 组织事务</t>
  </si>
  <si>
    <t xml:space="preserve">        2013201 行政运行</t>
  </si>
  <si>
    <t xml:space="preserve">      20133 宣传事务</t>
  </si>
  <si>
    <t xml:space="preserve">        2013301 行政运行</t>
  </si>
  <si>
    <t xml:space="preserve">      20134 统战事务</t>
  </si>
  <si>
    <t xml:space="preserve">        2013401 行政运行</t>
  </si>
  <si>
    <t xml:space="preserve">      20401 武装警察</t>
  </si>
  <si>
    <t xml:space="preserve">        2040103 消防</t>
  </si>
  <si>
    <t xml:space="preserve">      20402 公安</t>
  </si>
  <si>
    <t xml:space="preserve">        2040201 行政运行</t>
  </si>
  <si>
    <t xml:space="preserve">        2040212 道路交通管理</t>
  </si>
  <si>
    <t xml:space="preserve">        2040299 其他公安支出</t>
  </si>
  <si>
    <t xml:space="preserve">      20403 国家安全</t>
  </si>
  <si>
    <t xml:space="preserve">        2040301 行政运行</t>
  </si>
  <si>
    <t xml:space="preserve">      20404 检察</t>
  </si>
  <si>
    <t xml:space="preserve">        2040401 行政运行</t>
  </si>
  <si>
    <t xml:space="preserve">        2040402 一般行政管理事务</t>
  </si>
  <si>
    <t xml:space="preserve">      20405 法院</t>
  </si>
  <si>
    <t xml:space="preserve">        2040501 行政运行</t>
  </si>
  <si>
    <t xml:space="preserve">      20406 司法</t>
  </si>
  <si>
    <t xml:space="preserve">        2040601 行政运行</t>
  </si>
  <si>
    <t xml:space="preserve">        2040650 事业运行</t>
  </si>
  <si>
    <t xml:space="preserve">      20501 教育管理事务</t>
  </si>
  <si>
    <t xml:space="preserve">        2050101 行政运行</t>
  </si>
  <si>
    <t xml:space="preserve">      20502 普通教育</t>
  </si>
  <si>
    <t xml:space="preserve">        2050201 学前教育</t>
  </si>
  <si>
    <t xml:space="preserve">        2050202 小学教育</t>
  </si>
  <si>
    <t xml:space="preserve">        2050203 初中教育</t>
  </si>
  <si>
    <t xml:space="preserve">        2050204 高中教育</t>
  </si>
  <si>
    <t xml:space="preserve">        2050299 其他普通教育支出</t>
  </si>
  <si>
    <t xml:space="preserve">      20503 职业教育</t>
  </si>
  <si>
    <t xml:space="preserve">        2050302 中专教育</t>
  </si>
  <si>
    <t xml:space="preserve">      20504 成人教育</t>
  </si>
  <si>
    <t xml:space="preserve">        2050404 成人广播电视教育</t>
  </si>
  <si>
    <t xml:space="preserve">        2050499 其他成人教育支出</t>
  </si>
  <si>
    <t xml:space="preserve">      20507 特殊教育</t>
  </si>
  <si>
    <t xml:space="preserve">        2050701 特殊学校教育</t>
  </si>
  <si>
    <t xml:space="preserve">      20508 进修及培训</t>
  </si>
  <si>
    <t xml:space="preserve">        2050801 教师进修</t>
  </si>
  <si>
    <t xml:space="preserve">        2050802 干部教育</t>
  </si>
  <si>
    <t xml:space="preserve">        2050899 其他进修及培训</t>
  </si>
  <si>
    <t xml:space="preserve">      20601 科学技术管理事务</t>
  </si>
  <si>
    <t xml:space="preserve">        2060101 行政运行</t>
  </si>
  <si>
    <t xml:space="preserve">      20607 科学技术普及</t>
  </si>
  <si>
    <t xml:space="preserve">        2060701 机构运行</t>
  </si>
  <si>
    <t xml:space="preserve">        2060705 科技馆站</t>
  </si>
  <si>
    <t xml:space="preserve">      20701 文化</t>
  </si>
  <si>
    <t xml:space="preserve">        2070101 行政运行</t>
  </si>
  <si>
    <t xml:space="preserve">        2070104 图书馆</t>
  </si>
  <si>
    <t xml:space="preserve">        2070109 群众文化</t>
  </si>
  <si>
    <t xml:space="preserve">        2070199 其他文化支出</t>
  </si>
  <si>
    <t xml:space="preserve">      20703 体育</t>
  </si>
  <si>
    <t xml:space="preserve">        2070301 行政运行</t>
  </si>
  <si>
    <t xml:space="preserve">        2070307 体育场馆</t>
  </si>
  <si>
    <t xml:space="preserve">        2070308 群众体育</t>
  </si>
  <si>
    <t xml:space="preserve">      20704 新闻出版广播影视</t>
  </si>
  <si>
    <t xml:space="preserve">        2070404 广播</t>
  </si>
  <si>
    <t xml:space="preserve">        2070405 电视</t>
  </si>
  <si>
    <t xml:space="preserve">        2070408 出版发行</t>
  </si>
  <si>
    <t xml:space="preserve">      20801 人力资源和社会保障管理事务</t>
  </si>
  <si>
    <t xml:space="preserve">        2080101 行政运行</t>
  </si>
  <si>
    <t xml:space="preserve">        2080105 劳动保障监察</t>
  </si>
  <si>
    <t xml:space="preserve">        2080110 劳动关系和维权</t>
  </si>
  <si>
    <t xml:space="preserve">        2080111 公共就业服务和职业技能鉴定机构</t>
  </si>
  <si>
    <t xml:space="preserve">        2080111 公共就业服务和职业技能鉴定机构</t>
  </si>
  <si>
    <t xml:space="preserve">      20802 民政管理事务</t>
  </si>
  <si>
    <t xml:space="preserve">        2080201 行政运行</t>
  </si>
  <si>
    <t xml:space="preserve">        2080204 拥军优属</t>
  </si>
  <si>
    <t xml:space="preserve">        2080205 老龄事务</t>
  </si>
  <si>
    <t xml:space="preserve">      20808 抚恤</t>
  </si>
  <si>
    <t xml:space="preserve">        2080804 优抚事业单位支出</t>
  </si>
  <si>
    <t xml:space="preserve">      20809 退役安置</t>
  </si>
  <si>
    <t xml:space="preserve">        2080903 军队移交政府离退休干部管理机构</t>
  </si>
  <si>
    <t xml:space="preserve">      20810 社会福利</t>
  </si>
  <si>
    <t xml:space="preserve">        2081004 殡葬</t>
  </si>
  <si>
    <t xml:space="preserve">      20811 残疾人事业</t>
  </si>
  <si>
    <t xml:space="preserve">        2081101 行政运行</t>
  </si>
  <si>
    <t xml:space="preserve">        2081199 其他残疾人事业支出</t>
  </si>
  <si>
    <t xml:space="preserve">      20816 红十字事业</t>
  </si>
  <si>
    <t xml:space="preserve">        2081601 行政运行</t>
  </si>
  <si>
    <t xml:space="preserve">        2081699 其他红十字事业支出</t>
  </si>
  <si>
    <t xml:space="preserve">      21001 医疗卫生与计划生育管理事务</t>
  </si>
  <si>
    <t xml:space="preserve">        2100101 行政运行</t>
  </si>
  <si>
    <t xml:space="preserve">      21002 公立医院</t>
  </si>
  <si>
    <t xml:space="preserve">        2100201 综合医院</t>
  </si>
  <si>
    <t xml:space="preserve">        2100202 中医（民族）医院</t>
  </si>
  <si>
    <t xml:space="preserve">      21003 基层医疗卫生机构</t>
  </si>
  <si>
    <t xml:space="preserve">        2100301 城市社区卫生机构</t>
  </si>
  <si>
    <t xml:space="preserve">        2100302 乡镇卫生院</t>
  </si>
  <si>
    <t xml:space="preserve">      21004 公共卫生</t>
  </si>
  <si>
    <t xml:space="preserve">        2100401 疾病预防控制机构</t>
  </si>
  <si>
    <t xml:space="preserve">        2100402 卫生监督机构</t>
  </si>
  <si>
    <t xml:space="preserve">        2100403 妇幼保健机构</t>
  </si>
  <si>
    <t xml:space="preserve">      21007 计划生育事务</t>
  </si>
  <si>
    <t xml:space="preserve">        2100716 计划生育机构</t>
  </si>
  <si>
    <t xml:space="preserve">        2100799 其他计划生育事务支出</t>
  </si>
  <si>
    <t xml:space="preserve">      21010 食品和药品监督管理事务</t>
  </si>
  <si>
    <t xml:space="preserve">        2101001 行政运行</t>
  </si>
  <si>
    <t xml:space="preserve">      21101 环境保护管理事务</t>
  </si>
  <si>
    <t xml:space="preserve">        2110101 行政运行</t>
  </si>
  <si>
    <t xml:space="preserve">      21111 污染减排</t>
  </si>
  <si>
    <t xml:space="preserve">        2111101 环境监测与信息</t>
  </si>
  <si>
    <t xml:space="preserve">      21201 城乡社区管理事务</t>
  </si>
  <si>
    <t xml:space="preserve">        2120101 行政运行</t>
  </si>
  <si>
    <t xml:space="preserve">        2120104 城管执法</t>
  </si>
  <si>
    <t xml:space="preserve">        2120199 其他城乡社区管理事务支出</t>
  </si>
  <si>
    <t xml:space="preserve">      21203 城乡社区公共设施</t>
  </si>
  <si>
    <t xml:space="preserve">        2120399 其他城乡社区公共设施支出</t>
  </si>
  <si>
    <t xml:space="preserve">      21205 城乡社区环境卫生</t>
  </si>
  <si>
    <t xml:space="preserve">        2120501 城乡社区环境卫生</t>
  </si>
  <si>
    <t xml:space="preserve">      21301 农业</t>
  </si>
  <si>
    <t xml:space="preserve">        2130101 行政运行</t>
  </si>
  <si>
    <t xml:space="preserve">        2130104 事业运行</t>
  </si>
  <si>
    <t xml:space="preserve">      21302 林业</t>
  </si>
  <si>
    <t xml:space="preserve">        2130204 林业事业机构</t>
  </si>
  <si>
    <t xml:space="preserve">      21303 水利</t>
  </si>
  <si>
    <t xml:space="preserve">        2130301 行政运行</t>
  </si>
  <si>
    <t xml:space="preserve">        2130306 水利工程运行与维护</t>
  </si>
  <si>
    <t xml:space="preserve">      21401 公路水路运输</t>
  </si>
  <si>
    <t xml:space="preserve">        2140101 行政运行</t>
  </si>
  <si>
    <t xml:space="preserve">      21506 安全生产监管</t>
  </si>
  <si>
    <t xml:space="preserve">        2150601 行政运行</t>
  </si>
  <si>
    <t xml:space="preserve">      21508 支持中小企业发展和管理支出</t>
  </si>
  <si>
    <t xml:space="preserve">        2150801 行政运行</t>
  </si>
  <si>
    <t xml:space="preserve">        2150899 其他支持中小企业发展和管理支出</t>
  </si>
  <si>
    <t xml:space="preserve">      21602 商业流通事务</t>
  </si>
  <si>
    <t xml:space="preserve">        2160201 行政运行</t>
  </si>
  <si>
    <t xml:space="preserve">        2160250 事业运行</t>
  </si>
  <si>
    <t xml:space="preserve">      22001 国土资源事务</t>
  </si>
  <si>
    <t xml:space="preserve">        2200101 行政运行</t>
  </si>
  <si>
    <t xml:space="preserve">        2200150 事业运行</t>
  </si>
  <si>
    <t xml:space="preserve">      22004 地震事务</t>
  </si>
  <si>
    <t xml:space="preserve">        2200401 行政运行</t>
  </si>
  <si>
    <t xml:space="preserve">      22005 气象事务</t>
  </si>
  <si>
    <t xml:space="preserve">        2200509 气象服务</t>
  </si>
  <si>
    <t xml:space="preserve">        2200599 其他气象事务支出</t>
  </si>
  <si>
    <t xml:space="preserve">      22201 粮油事务</t>
  </si>
  <si>
    <t xml:space="preserve">        2220101 行政运行</t>
  </si>
  <si>
    <t xml:space="preserve">      22202 物资事务</t>
  </si>
  <si>
    <t xml:space="preserve">        2220250 事业运行</t>
  </si>
  <si>
    <t xml:space="preserve">      22902 年初预留</t>
  </si>
  <si>
    <t>二、项目支出预算</t>
  </si>
  <si>
    <t xml:space="preserve">        2010102 一般行政管理事务</t>
  </si>
  <si>
    <t xml:space="preserve">        2010104 人大会议</t>
  </si>
  <si>
    <t xml:space="preserve">        2010108 代表工作</t>
  </si>
  <si>
    <t xml:space="preserve">        2010202 一般行政管理事务</t>
  </si>
  <si>
    <t xml:space="preserve">        2010204 政协会议</t>
  </si>
  <si>
    <t xml:space="preserve">        2010402 一般行政管理事务</t>
  </si>
  <si>
    <t xml:space="preserve">        2010499 其他发展与改革事务支出</t>
  </si>
  <si>
    <t xml:space="preserve">        2010602 一般行政管理事务</t>
  </si>
  <si>
    <t xml:space="preserve">        2010605 财政国库业务</t>
  </si>
  <si>
    <t xml:space="preserve">        2010702 一般行政管理事务</t>
  </si>
  <si>
    <t xml:space="preserve">        2010802 一般行政管理事务</t>
  </si>
  <si>
    <t xml:space="preserve">      20109 海关事务</t>
  </si>
  <si>
    <t xml:space="preserve">        2010902 一般行政管理事务</t>
  </si>
  <si>
    <t xml:space="preserve">        2011002 一般行政管理事务</t>
  </si>
  <si>
    <t xml:space="preserve">        2011006 军队转业干部安置</t>
  </si>
  <si>
    <t xml:space="preserve">        2011009 公务员考核</t>
  </si>
  <si>
    <t xml:space="preserve">        2011010 公务员履职能力提升</t>
  </si>
  <si>
    <t xml:space="preserve">        2011011 公务员招考</t>
  </si>
  <si>
    <t xml:space="preserve">        2011102 一般行政管理事务</t>
  </si>
  <si>
    <t xml:space="preserve">      20114 知识产权事务</t>
  </si>
  <si>
    <t xml:space="preserve">        2011406 专利试点和产业化推进</t>
  </si>
  <si>
    <t xml:space="preserve">      20115 工商行政管理事务</t>
  </si>
  <si>
    <t xml:space="preserve">        2011502 一般行政管理事务</t>
  </si>
  <si>
    <t xml:space="preserve">        2011504 工商行政管理专项</t>
  </si>
  <si>
    <t xml:space="preserve">        2011599 其他工商行政管理事务支出</t>
  </si>
  <si>
    <t xml:space="preserve">      20117 质量技术监督与检验检疫事务</t>
  </si>
  <si>
    <t xml:space="preserve">        2011702 一般行政管理事务</t>
  </si>
  <si>
    <t xml:space="preserve">        2011706 质量技术监督行政执法及业务管理</t>
  </si>
  <si>
    <t xml:space="preserve">      20123 民族事务</t>
  </si>
  <si>
    <t xml:space="preserve">        2012302 一般行政管理事务</t>
  </si>
  <si>
    <t xml:space="preserve">      20124 宗教事务</t>
  </si>
  <si>
    <t xml:space="preserve">        2012402 一般行政管理事务</t>
  </si>
  <si>
    <t xml:space="preserve">        2012699 其他档案事务支出</t>
  </si>
  <si>
    <t xml:space="preserve">        2012802 一般行政管理事务</t>
  </si>
  <si>
    <t xml:space="preserve">        2012999 其他群众团体事务支出</t>
  </si>
  <si>
    <t xml:space="preserve">        2013102 一般行政管理事务</t>
  </si>
  <si>
    <t xml:space="preserve">        2013202 一般行政管理事务</t>
  </si>
  <si>
    <t xml:space="preserve">        2013302 一般行政管理事务</t>
  </si>
  <si>
    <t xml:space="preserve">        2013402 一般行政管理事务</t>
  </si>
  <si>
    <t xml:space="preserve">      20199 其他一般公共服务支出</t>
  </si>
  <si>
    <t xml:space="preserve">        2019999 其他一般公共服务支出</t>
  </si>
  <si>
    <t xml:space="preserve">        2040302 一般行政管理事务</t>
  </si>
  <si>
    <t xml:space="preserve">        2040602 一般行政管理事务</t>
  </si>
  <si>
    <t xml:space="preserve">        2040605 普法宣传</t>
  </si>
  <si>
    <t xml:space="preserve">        2040607 法律援助</t>
  </si>
  <si>
    <t xml:space="preserve">        2050102 一般行政管理事务</t>
  </si>
  <si>
    <t xml:space="preserve">        2050205 高等教育</t>
  </si>
  <si>
    <t xml:space="preserve">        2050402 成人中等教育</t>
  </si>
  <si>
    <t xml:space="preserve">      20509 教育费附加安排的支出</t>
  </si>
  <si>
    <t xml:space="preserve">        2050901 农村中小学校舍建设</t>
  </si>
  <si>
    <t xml:space="preserve">        2050999 其他教育费附加安排的支出</t>
  </si>
  <si>
    <t xml:space="preserve">      20599 其他教育支出</t>
  </si>
  <si>
    <t xml:space="preserve">        2059999 其他教育支出</t>
  </si>
  <si>
    <t xml:space="preserve">        2060102 一般行政管理事务</t>
  </si>
  <si>
    <t xml:space="preserve">      20602 基础研究</t>
  </si>
  <si>
    <t xml:space="preserve">        2060202 重点基础研究规划</t>
  </si>
  <si>
    <t xml:space="preserve">        2060206 专项基础科研</t>
  </si>
  <si>
    <t xml:space="preserve">      20603 应用研究</t>
  </si>
  <si>
    <t xml:space="preserve">        2060302 社会公益研究</t>
  </si>
  <si>
    <t xml:space="preserve">        2060303 高技术研究</t>
  </si>
  <si>
    <t xml:space="preserve">      20604 技术研究与开发</t>
  </si>
  <si>
    <t xml:space="preserve">        2060402 应用技术研究与开发</t>
  </si>
  <si>
    <t xml:space="preserve">        2060403 产业技术研究与开发</t>
  </si>
  <si>
    <t xml:space="preserve">        2060404 科技成果转化与扩散</t>
  </si>
  <si>
    <t xml:space="preserve">        2060499 其他技术研究与开发支出</t>
  </si>
  <si>
    <t xml:space="preserve">      20605 科技条件与服务</t>
  </si>
  <si>
    <t xml:space="preserve">        2060502 技术创新服务体系</t>
  </si>
  <si>
    <t xml:space="preserve">        2060503 科技条件专项</t>
  </si>
  <si>
    <t xml:space="preserve">        2060702 科普活动</t>
  </si>
  <si>
    <t xml:space="preserve">        2060799 其他科学技术普及支出</t>
  </si>
  <si>
    <t>完成调整预算%</t>
  </si>
  <si>
    <t xml:space="preserve">      20608 科技交流与合作</t>
  </si>
  <si>
    <t xml:space="preserve">        2060801 国际交流与合作</t>
  </si>
  <si>
    <t xml:space="preserve">        2060899 其他科技交流与合作支出</t>
  </si>
  <si>
    <t xml:space="preserve">      20699 其他科学技术支出</t>
  </si>
  <si>
    <t xml:space="preserve">        2069999 其他科学技术支出</t>
  </si>
  <si>
    <t xml:space="preserve">        2070102 一般行政管理事务</t>
  </si>
  <si>
    <t xml:space="preserve">        2070111 文化创作与保护</t>
  </si>
  <si>
    <t xml:space="preserve">        2070112 文化市场管理</t>
  </si>
  <si>
    <t xml:space="preserve">        2070305 体育竞赛</t>
  </si>
  <si>
    <t xml:space="preserve">        2070306 体育训练</t>
  </si>
  <si>
    <t xml:space="preserve">      20799 其他文化体育与传媒支出</t>
  </si>
  <si>
    <t xml:space="preserve">        2079902 宣传文化发展专项支出</t>
  </si>
  <si>
    <t xml:space="preserve">        2079903 文化产业发展专项支出</t>
  </si>
  <si>
    <t xml:space="preserve">        2079999 其他文化体育与传媒支出</t>
  </si>
  <si>
    <t xml:space="preserve">        2080110 劳动关系和维权</t>
  </si>
  <si>
    <t xml:space="preserve">        2080202 一般行政管理事务</t>
  </si>
  <si>
    <t xml:space="preserve">        2080208 基层政权和社区建设</t>
  </si>
  <si>
    <t xml:space="preserve">        2080299 其他民政管理事务支出</t>
  </si>
  <si>
    <t xml:space="preserve">      20805 行政事业单位离退休</t>
  </si>
  <si>
    <t xml:space="preserve">        2080502 事业单位离退休</t>
  </si>
  <si>
    <t xml:space="preserve">        2080507 对机关事业单位基本养老保险基金的补助</t>
  </si>
  <si>
    <t xml:space="preserve">      20806 企业改革补助</t>
  </si>
  <si>
    <t xml:space="preserve">        2080699 其他企业改革发展补助</t>
  </si>
  <si>
    <t xml:space="preserve">      20807 就业补助</t>
  </si>
  <si>
    <t xml:space="preserve">        2080701 就业创业服务补贴</t>
  </si>
  <si>
    <t xml:space="preserve">        2080705 公益性岗位补贴</t>
  </si>
  <si>
    <t xml:space="preserve">        2080799 其他就业补助支出</t>
  </si>
  <si>
    <t xml:space="preserve">        2080801 死亡抚恤</t>
  </si>
  <si>
    <t xml:space="preserve">        2080802 伤残抚恤</t>
  </si>
  <si>
    <t xml:space="preserve">        2080803 在乡复员、退伍军人生活补助</t>
  </si>
  <si>
    <t xml:space="preserve">        2080805 义务兵优待</t>
  </si>
  <si>
    <t xml:space="preserve">        2080806 农村籍退役士兵老年生活补助</t>
  </si>
  <si>
    <t xml:space="preserve">        2080899 其他优抚支出</t>
  </si>
  <si>
    <t xml:space="preserve">        2080901 退役士兵安置</t>
  </si>
  <si>
    <t xml:space="preserve">        2080902 军队移交政府的离退休人员安置</t>
  </si>
  <si>
    <t xml:space="preserve">        2080904 退役士兵管理教育</t>
  </si>
  <si>
    <t xml:space="preserve">        2081001 儿童福利</t>
  </si>
  <si>
    <t xml:space="preserve">        2081002 老年福利</t>
  </si>
  <si>
    <t xml:space="preserve">        2081099 其他社会福利支出</t>
  </si>
  <si>
    <t xml:space="preserve">        2081104 残疾人康复</t>
  </si>
  <si>
    <t xml:space="preserve">        2081105 残疾人就业和扶贫</t>
  </si>
  <si>
    <t xml:space="preserve">        2081106 残疾人体育</t>
  </si>
  <si>
    <t xml:space="preserve">        2081602 一般行政管理事务</t>
  </si>
  <si>
    <t xml:space="preserve">      20819 最低生活保障</t>
  </si>
  <si>
    <t xml:space="preserve">        2081901 城市最低生活保障金支出</t>
  </si>
  <si>
    <t xml:space="preserve">        2081902 农村最低生活保障金支出</t>
  </si>
  <si>
    <t xml:space="preserve">      20820 临时救助</t>
  </si>
  <si>
    <t xml:space="preserve">        2082001 临时救助支出</t>
  </si>
  <si>
    <t xml:space="preserve">        2082002 流浪乞讨人员救助支出</t>
  </si>
  <si>
    <t xml:space="preserve">      20821 特困人员供养</t>
  </si>
  <si>
    <t xml:space="preserve">        2082102 农村五保供养支出</t>
  </si>
  <si>
    <t xml:space="preserve">      20825 其他生活救助</t>
  </si>
  <si>
    <t xml:space="preserve">        2082501 其他城市生活救助</t>
  </si>
  <si>
    <t xml:space="preserve">        2082502 其他农村生活救助</t>
  </si>
  <si>
    <t xml:space="preserve">      20899 其他社会保障和就业支出</t>
  </si>
  <si>
    <t xml:space="preserve">        2089901 其他社会保障和就业支出</t>
  </si>
  <si>
    <t xml:space="preserve">        2100102 一般行政管理事务</t>
  </si>
  <si>
    <t xml:space="preserve">        2100199 其他医疗卫生与计划生育管理事务支出</t>
  </si>
  <si>
    <t xml:space="preserve">        2100408 基本公共卫生服务</t>
  </si>
  <si>
    <t xml:space="preserve">        2100409 重大公共卫生专项</t>
  </si>
  <si>
    <t xml:space="preserve">        2100601 中医（民族医）药专项</t>
  </si>
  <si>
    <t xml:space="preserve">        2100699 其他中医药支出</t>
  </si>
  <si>
    <t xml:space="preserve">        2100717 计划生育服务</t>
  </si>
  <si>
    <t xml:space="preserve">        2110102 一般行政管理事务</t>
  </si>
  <si>
    <t xml:space="preserve">        2110104 环境保护宣传</t>
  </si>
  <si>
    <t xml:space="preserve">        2110107 环境保护行政许可</t>
  </si>
  <si>
    <t xml:space="preserve">      21102 环境监测与监察</t>
  </si>
  <si>
    <t xml:space="preserve">        2110299 其他环境监测与监察支出</t>
  </si>
  <si>
    <t xml:space="preserve">      21103 污染防治</t>
  </si>
  <si>
    <t xml:space="preserve">        2110301 大气</t>
  </si>
  <si>
    <t xml:space="preserve">        2110302 水体</t>
  </si>
  <si>
    <t xml:space="preserve">        2110304 固体废弃物与化学品</t>
  </si>
  <si>
    <t xml:space="preserve">        2110307 排污费安排的支出</t>
  </si>
  <si>
    <t xml:space="preserve">        2110399 其他污染防治支出</t>
  </si>
  <si>
    <t xml:space="preserve">      21104 自然生态保护</t>
  </si>
  <si>
    <t xml:space="preserve">      21110 能源节约利用</t>
  </si>
  <si>
    <t xml:space="preserve">        2111001 能源节约利用</t>
  </si>
  <si>
    <t xml:space="preserve">        2111102 环境执法监察</t>
  </si>
  <si>
    <t xml:space="preserve">        2111103 减排专项支出</t>
  </si>
  <si>
    <t xml:space="preserve">      21202 城乡社区规划与管理</t>
  </si>
  <si>
    <t xml:space="preserve">        2120201 城乡社区规划与管理</t>
  </si>
  <si>
    <t xml:space="preserve">        2120303 小城镇基础设施建设</t>
  </si>
  <si>
    <t xml:space="preserve">      21206 建设市场管理与监督</t>
  </si>
  <si>
    <t xml:space="preserve">        2120601 建设市场管理与监督</t>
  </si>
  <si>
    <t xml:space="preserve">      21299 其他城乡社区支出</t>
  </si>
  <si>
    <t xml:space="preserve">        2129999 其他城乡社区支出</t>
  </si>
  <si>
    <t xml:space="preserve">        2130102 一般行政管理事务</t>
  </si>
  <si>
    <t xml:space="preserve">        2130106 科技转化与推广服务</t>
  </si>
  <si>
    <t xml:space="preserve">        2130108 病虫害控制</t>
  </si>
  <si>
    <t xml:space="preserve">        2130109 农产品质量安全</t>
  </si>
  <si>
    <t xml:space="preserve">        2130112 农业行业业务管理</t>
  </si>
  <si>
    <t xml:space="preserve">        2130122 农业生产支持补贴</t>
  </si>
  <si>
    <t xml:space="preserve">        2130124 农业组织化与产业化经营</t>
  </si>
  <si>
    <t xml:space="preserve">        2130152 对高校毕业生到基层任职补助</t>
  </si>
  <si>
    <t xml:space="preserve">        2130199 其他农业支出</t>
  </si>
  <si>
    <t xml:space="preserve">        2130205 森林培育</t>
  </si>
  <si>
    <t xml:space="preserve">        2130299 其他林业支出</t>
  </si>
  <si>
    <t xml:space="preserve">        2130305 水利工程建设</t>
  </si>
  <si>
    <t xml:space="preserve">        2130311 水资源节约管理与保护</t>
  </si>
  <si>
    <t xml:space="preserve">        2130314 防汛</t>
  </si>
  <si>
    <t xml:space="preserve">        2130316 农田水利</t>
  </si>
  <si>
    <t xml:space="preserve">        2130399 其他水利支出</t>
  </si>
  <si>
    <t xml:space="preserve">      21306 农业综合开发</t>
  </si>
  <si>
    <t xml:space="preserve">        2130601 机构运行</t>
  </si>
  <si>
    <t xml:space="preserve">        2130603 产业化经营</t>
  </si>
  <si>
    <t xml:space="preserve">      21307 农村综合改革</t>
  </si>
  <si>
    <t xml:space="preserve">        2130705 对村民委员会和村党支部的补助</t>
  </si>
  <si>
    <t xml:space="preserve">        2130706 对村集体经济组织的补助</t>
  </si>
  <si>
    <t xml:space="preserve">      21308 普惠金融发展支出</t>
  </si>
  <si>
    <t xml:space="preserve">        2130803 农业保险保费补贴</t>
  </si>
  <si>
    <t xml:space="preserve">        2130804 小额担保贷款贴息</t>
  </si>
  <si>
    <t xml:space="preserve">        2130805 补充小额担保贷款基金</t>
  </si>
  <si>
    <t xml:space="preserve">        2140102 一般行政管理事务</t>
  </si>
  <si>
    <t xml:space="preserve">        2140106 公路养护</t>
  </si>
  <si>
    <t xml:space="preserve">        2140108 公路路政管理</t>
  </si>
  <si>
    <t xml:space="preserve">        2140199 其他公路水路运输支出</t>
  </si>
  <si>
    <t xml:space="preserve">      21404 成品油价格改革对交通运输的补贴</t>
  </si>
  <si>
    <t xml:space="preserve">        2140499 成品油价格改革补贴其他支出</t>
  </si>
  <si>
    <t xml:space="preserve">      21499 其他交通运输支出</t>
  </si>
  <si>
    <t xml:space="preserve">        2149999 其他交通运输支出</t>
  </si>
  <si>
    <t xml:space="preserve">      21502 制造业</t>
  </si>
  <si>
    <t xml:space="preserve">        2150209 电气机械及器材制造业</t>
  </si>
  <si>
    <t xml:space="preserve">        2150299 其他制造业支出</t>
  </si>
  <si>
    <t xml:space="preserve">        2150602 一般行政管理事务</t>
  </si>
  <si>
    <t xml:space="preserve">        2150605 安全监管监察专项</t>
  </si>
  <si>
    <t xml:space="preserve">        2150699 其他安全生产监管支出</t>
  </si>
  <si>
    <t xml:space="preserve">        2150802 一般行政管理事务</t>
  </si>
  <si>
    <t xml:space="preserve">        2150805 中小企业发展专项</t>
  </si>
  <si>
    <t xml:space="preserve">      21599 其他资源勘探信息等支出</t>
  </si>
  <si>
    <t xml:space="preserve">        2159904 技术改造支出</t>
  </si>
  <si>
    <t xml:space="preserve">        2159999 其他资源勘探信息等支出</t>
  </si>
  <si>
    <t xml:space="preserve">        2160299 其他商业流通事务支出</t>
  </si>
  <si>
    <t xml:space="preserve">      21605 旅游业管理与服务支出</t>
  </si>
  <si>
    <t xml:space="preserve">        2160502 一般行政管理事务</t>
  </si>
  <si>
    <t xml:space="preserve">        2160504 旅游宣传</t>
  </si>
  <si>
    <t xml:space="preserve">        2160505 旅游行业业务管理</t>
  </si>
  <si>
    <t xml:space="preserve">        2160599 其他旅游业管理与服务支出</t>
  </si>
  <si>
    <t xml:space="preserve">      21606 涉外发展服务支出</t>
  </si>
  <si>
    <t xml:space="preserve">        2160699 其他涉外发展服务支出</t>
  </si>
  <si>
    <t xml:space="preserve">      21699 其他商业服务业等支出</t>
  </si>
  <si>
    <t xml:space="preserve">        2169901 服务业基础设施建设</t>
  </si>
  <si>
    <t xml:space="preserve">        2169999 其他商业服务业等支出</t>
  </si>
  <si>
    <t xml:space="preserve">      21702 金融部门监管支出</t>
  </si>
  <si>
    <t xml:space="preserve">        2170299 金融部门其他监管支出</t>
  </si>
  <si>
    <t xml:space="preserve">    219 援助其他地区支出</t>
  </si>
  <si>
    <t xml:space="preserve">        2200102 一般行政管理事务</t>
  </si>
  <si>
    <t xml:space="preserve">        2200199 其他国土资源事务支出</t>
  </si>
  <si>
    <t xml:space="preserve">        2200404 地震监测</t>
  </si>
  <si>
    <t xml:space="preserve">        2200407 地震应急救援</t>
  </si>
  <si>
    <t xml:space="preserve">      22102 住房改革支出</t>
  </si>
  <si>
    <t xml:space="preserve">        2210203 购房补贴</t>
  </si>
  <si>
    <t xml:space="preserve">      22103 城乡社区住宅</t>
  </si>
  <si>
    <t xml:space="preserve">        2210399 其他城乡社区住宅支出</t>
  </si>
  <si>
    <t xml:space="preserve">        2220115 粮食风险基金</t>
  </si>
  <si>
    <t xml:space="preserve">        2220199 其他粮油事务支出</t>
  </si>
  <si>
    <t xml:space="preserve">      22999 其他支出</t>
  </si>
  <si>
    <t xml:space="preserve">        2299901 其他支出</t>
  </si>
  <si>
    <t xml:space="preserve">      23008 调出资金</t>
  </si>
  <si>
    <t xml:space="preserve">        2300801 一般公共预算调出资金</t>
  </si>
  <si>
    <t xml:space="preserve">      23203 地方政府一般债务付息支出</t>
  </si>
  <si>
    <t xml:space="preserve">        2320301 地方政府一般债券付息支出</t>
  </si>
  <si>
    <t xml:space="preserve">      23303 地方政府一般债务发行费用支出</t>
  </si>
  <si>
    <t>房屋建筑物购建</t>
  </si>
  <si>
    <t>办公设备购置</t>
  </si>
  <si>
    <t>专用设备购置</t>
  </si>
  <si>
    <t>基础设施建设</t>
  </si>
  <si>
    <t>大型修缮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</si>
  <si>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</si>
  <si>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</si>
  <si>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</si>
  <si>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</si>
  <si>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</si>
  <si>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</si>
  <si>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</si>
  <si>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预备费</t>
  </si>
  <si>
    <t>预留</t>
  </si>
  <si>
    <t>补充全国社会保障基金</t>
  </si>
  <si>
    <t>总计</t>
  </si>
  <si>
    <t>单位</t>
  </si>
  <si>
    <t>项目</t>
  </si>
  <si>
    <t>单位：万元</t>
  </si>
  <si>
    <t>一般预算支出合计</t>
  </si>
  <si>
    <t>2014年</t>
  </si>
  <si>
    <t>年均递增%</t>
  </si>
  <si>
    <t>其中：2014年增幅%</t>
  </si>
  <si>
    <t xml:space="preserve">      2015年增幅%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</si>
  <si>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</si>
  <si>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</si>
  <si>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</si>
  <si>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</si>
  <si>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</si>
  <si>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</si>
  <si>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</si>
  <si>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</si>
  <si>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</si>
  <si>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</si>
  <si>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</si>
  <si>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</si>
  <si>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</si>
  <si>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</si>
  <si>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</si>
  <si>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</si>
  <si>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</si>
  <si>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</si>
  <si>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执行预算</t>
  </si>
  <si>
    <t xml:space="preserve">  201 一般公共服务支出</t>
  </si>
  <si>
    <t xml:space="preserve">  204 公共安全支出</t>
  </si>
  <si>
    <t xml:space="preserve">  205 教育支出</t>
  </si>
  <si>
    <t xml:space="preserve">  206 科学技术支出</t>
  </si>
  <si>
    <t xml:space="preserve">  207 文化体育与传媒支出</t>
  </si>
  <si>
    <t xml:space="preserve">  208 社会保障和就业支出</t>
  </si>
  <si>
    <t xml:space="preserve">  210 医疗卫生与计划生育支出</t>
  </si>
  <si>
    <t xml:space="preserve">  211 节能环保支出</t>
  </si>
  <si>
    <t xml:space="preserve">  212 城乡社区支出</t>
  </si>
  <si>
    <t xml:space="preserve">  213 农林水支出</t>
  </si>
  <si>
    <t xml:space="preserve">  214 交通运输支出</t>
  </si>
  <si>
    <t xml:space="preserve">  215 资源勘探电力信息等支出</t>
  </si>
  <si>
    <t xml:space="preserve">  216 商业服务业等支出</t>
  </si>
  <si>
    <t xml:space="preserve">  217 金融支出</t>
  </si>
  <si>
    <t xml:space="preserve">  219 援助其他地区支出</t>
  </si>
  <si>
    <t xml:space="preserve">  220 国土资源气象等支出</t>
  </si>
  <si>
    <t xml:space="preserve">  221 住房保障支出</t>
  </si>
  <si>
    <t xml:space="preserve">  222 粮油物资储备支出</t>
  </si>
  <si>
    <t xml:space="preserve">  227 预备费</t>
  </si>
  <si>
    <t xml:space="preserve">  229 其他支出</t>
  </si>
  <si>
    <t xml:space="preserve">  230 转移性支出</t>
  </si>
  <si>
    <t xml:space="preserve">  232 债务付息支出</t>
  </si>
  <si>
    <t xml:space="preserve">  231 债务还本支出</t>
  </si>
  <si>
    <t>市专款</t>
  </si>
  <si>
    <t>一般预算支出</t>
  </si>
  <si>
    <t xml:space="preserve">  215 资源勘探信息等支出</t>
  </si>
  <si>
    <t xml:space="preserve">  233 债务发行费用支出</t>
  </si>
  <si>
    <t>基金预算支出</t>
  </si>
  <si>
    <t>债务还本支出</t>
  </si>
  <si>
    <t xml:space="preserve">  203 国防支出</t>
  </si>
  <si>
    <t>决算安排</t>
  </si>
  <si>
    <t>年初预算</t>
  </si>
  <si>
    <t>完成年初预算%</t>
  </si>
  <si>
    <t xml:space="preserve">  一、基本支出预算</t>
  </si>
  <si>
    <t xml:space="preserve">    201 一般公共服务支出</t>
  </si>
  <si>
    <t xml:space="preserve">    204 公共安全支出</t>
  </si>
  <si>
    <t xml:space="preserve">    205 教育支出</t>
  </si>
  <si>
    <t xml:space="preserve">    206 科学技术支出</t>
  </si>
  <si>
    <t xml:space="preserve">    207 文化体育与传媒支出</t>
  </si>
  <si>
    <t xml:space="preserve">    208 社会保障和就业支出</t>
  </si>
  <si>
    <t xml:space="preserve">    210 医疗卫生与计划生育支出</t>
  </si>
  <si>
    <t xml:space="preserve">    211 节能环保支出</t>
  </si>
  <si>
    <t xml:space="preserve">    212 城乡社区支出</t>
  </si>
  <si>
    <t xml:space="preserve">    213 农林水支出</t>
  </si>
  <si>
    <t xml:space="preserve">    214 交通运输支出</t>
  </si>
  <si>
    <t xml:space="preserve">    215 资源勘探信息等支出</t>
  </si>
  <si>
    <t xml:space="preserve">    216 商业服务业等支出</t>
  </si>
  <si>
    <t xml:space="preserve">    220 国土海洋气象等支出</t>
  </si>
  <si>
    <t xml:space="preserve">    222 粮油物资储备支出</t>
  </si>
  <si>
    <t xml:space="preserve">    229 其他支出</t>
  </si>
  <si>
    <t xml:space="preserve">  二、项目支出预算</t>
  </si>
  <si>
    <t xml:space="preserve">    217 金融支出</t>
  </si>
  <si>
    <t xml:space="preserve">    221 住房保障支出</t>
  </si>
  <si>
    <t xml:space="preserve">    230 转移性支出</t>
  </si>
  <si>
    <t xml:space="preserve">    232 债务付息支出</t>
  </si>
  <si>
    <t xml:space="preserve">    233 债务发行费用支出</t>
  </si>
  <si>
    <t xml:space="preserve">    227 预备费</t>
  </si>
  <si>
    <t xml:space="preserve">  四、预备费</t>
  </si>
  <si>
    <t xml:space="preserve">    231 债务还本支出</t>
  </si>
  <si>
    <t>指标数</t>
  </si>
  <si>
    <t>分配数</t>
  </si>
  <si>
    <t>年度预算</t>
  </si>
  <si>
    <t>完成调整预算%</t>
  </si>
  <si>
    <t>执行数</t>
  </si>
  <si>
    <t>预计支出</t>
  </si>
  <si>
    <t xml:space="preserve">    21208 国有土地使用权出让收入及对应专项债务收入安排的支出</t>
  </si>
  <si>
    <t xml:space="preserve">      2120802 土地开发支出</t>
  </si>
  <si>
    <t xml:space="preserve">      2120803 城市建设支出</t>
  </si>
  <si>
    <t xml:space="preserve">      2120899 其他国有土地使用权出让收入安排的支出</t>
  </si>
  <si>
    <t xml:space="preserve">    21210 国有土地收益基金及对应专项债务收入安排的支出</t>
  </si>
  <si>
    <t xml:space="preserve">      2121099 其他国有土地收益基金支出</t>
  </si>
  <si>
    <t xml:space="preserve">    21211 农业土地开发资金及对应专项债务收入安排的支出</t>
  </si>
  <si>
    <t xml:space="preserve">    21212 新增建设用地土地有偿使用费及对应专项债务收入安排的支出</t>
  </si>
  <si>
    <t xml:space="preserve">      2121203 土地整理支出</t>
  </si>
  <si>
    <t xml:space="preserve">    21214 污水处理费及对应专项债务收入安排的支出</t>
  </si>
  <si>
    <t xml:space="preserve">      2121401 污水处理设施建设和运营</t>
  </si>
  <si>
    <t xml:space="preserve">      2121402 代征手续费</t>
  </si>
  <si>
    <t xml:space="preserve">      2121499 其他污水处理费安排的支出</t>
  </si>
  <si>
    <t xml:space="preserve">    21560 散装水泥专项资金及对应专项债务收入安排的支出</t>
  </si>
  <si>
    <t xml:space="preserve">      2156099 其他散装水泥专项资金支出</t>
  </si>
  <si>
    <t xml:space="preserve">    21561 新型墙体材料专项基金及对应专项债务收入安排的支出</t>
  </si>
  <si>
    <t xml:space="preserve">      2156199 其他新型墙体材料专项基金支出</t>
  </si>
  <si>
    <t xml:space="preserve">    21660 旅游发展基金支出</t>
  </si>
  <si>
    <t xml:space="preserve">      2166004 地方旅游开发项目补助</t>
  </si>
  <si>
    <t xml:space="preserve">    22960 彩票公益金及对应专项债务收入安排的支出</t>
  </si>
  <si>
    <t xml:space="preserve">      2296002 用于社会福利的彩票公益金支出</t>
  </si>
  <si>
    <t xml:space="preserve">      2296003 用于体育事业的彩票公益金支出</t>
  </si>
  <si>
    <t xml:space="preserve">    23204 地方政府专项债务付息支出</t>
  </si>
  <si>
    <t xml:space="preserve">      2320411 国有土地使用权出让金债务付息支出</t>
  </si>
  <si>
    <t xml:space="preserve">    23304 地方政府专项债务发行费用支出</t>
  </si>
  <si>
    <t xml:space="preserve">      2330499 其他政府性基金债务发行费用支出</t>
  </si>
  <si>
    <t xml:space="preserve">    23104 地方政府专项债务还本支出</t>
  </si>
  <si>
    <t xml:space="preserve">      2310411 国有土地使用权出让金债务还本支出</t>
  </si>
  <si>
    <t>决算安排数</t>
  </si>
  <si>
    <t>表十二：</t>
  </si>
  <si>
    <t>表一：</t>
  </si>
  <si>
    <t>单位：万元</t>
  </si>
  <si>
    <t>项目</t>
  </si>
  <si>
    <t>调整预算</t>
  </si>
  <si>
    <t>完成年初预算%</t>
  </si>
  <si>
    <t>一般公共财政预算收入合计</t>
  </si>
  <si>
    <t>一、税收收入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</si>
  <si>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</si>
  <si>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</si>
  <si>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</si>
  <si>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</si>
  <si>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</si>
  <si>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</si>
  <si>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</si>
  <si>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</si>
  <si>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</si>
  <si>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</si>
  <si>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</si>
  <si>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</si>
  <si>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</si>
  <si>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</si>
  <si>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排污费收入</t>
  </si>
  <si>
    <t>教育费附加收入</t>
  </si>
  <si>
    <t>地方教育费附加</t>
  </si>
  <si>
    <t>残疾人就业保障金收入</t>
  </si>
  <si>
    <t>教育资金收入</t>
  </si>
  <si>
    <t>农田水利建设资金收入</t>
  </si>
  <si>
    <t>育林基金收入</t>
  </si>
  <si>
    <t>森林植被恢复费</t>
  </si>
  <si>
    <t>保障性安居工程资金收入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</si>
  <si>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</si>
  <si>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</si>
  <si>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</si>
  <si>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</si>
  <si>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</si>
  <si>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加：1、市体制税收返还收入等</t>
  </si>
  <si>
    <t>2、市级转移支付收入</t>
  </si>
  <si>
    <t>3、上年结转结余收入（区本级）</t>
  </si>
  <si>
    <t>5、调入资金</t>
  </si>
  <si>
    <t>①政府性基金超30%规模</t>
  </si>
  <si>
    <t>③区级垫付资金</t>
  </si>
  <si>
    <t>④单位上交款</t>
  </si>
  <si>
    <t>区级公共财政收入总量</t>
  </si>
  <si>
    <t>一般债券转贷收入</t>
  </si>
  <si>
    <t>1、新增政府债券</t>
  </si>
  <si>
    <t>2、置换存量债务</t>
  </si>
  <si>
    <t>全区综合财力</t>
  </si>
  <si>
    <t>2016年决算</t>
  </si>
  <si>
    <t>单位：亿元</t>
  </si>
  <si>
    <t>单位：万元</t>
  </si>
  <si>
    <t>预算科目</t>
  </si>
  <si>
    <t>年初预算</t>
  </si>
  <si>
    <t>合计</t>
  </si>
  <si>
    <t>调入预算稳定调节基金（镇级）</t>
  </si>
  <si>
    <t>上年末镇级结转结余</t>
  </si>
  <si>
    <t>编制单位：天津市北辰区财政局</t>
  </si>
  <si>
    <t>编制单位：天津市北辰区财政局</t>
  </si>
  <si>
    <t>单位：万元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</si>
  <si>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</si>
  <si>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</si>
  <si>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</si>
  <si>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</si>
  <si>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</si>
  <si>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</si>
  <si>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</si>
  <si>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</si>
  <si>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</si>
  <si>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</si>
  <si>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</si>
  <si>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</si>
  <si>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</si>
  <si>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</si>
  <si>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 xml:space="preserve">  国有控股公司股利、股息收入</t>
  </si>
  <si>
    <t xml:space="preserve">  国有参股公司股利、股息收入</t>
  </si>
  <si>
    <t xml:space="preserve">  金融企业股利、股息收入</t>
  </si>
  <si>
    <t>三、产权转让收入</t>
  </si>
  <si>
    <t xml:space="preserve">  其他国有资本经营预算企业产权转让收入</t>
  </si>
  <si>
    <t>单位：万元</t>
  </si>
  <si>
    <t>2015年</t>
  </si>
  <si>
    <t>国有资本经营支出合计</t>
  </si>
  <si>
    <t>一、科学技术支出</t>
  </si>
  <si>
    <t xml:space="preserve"> 战略性产业发展支出</t>
  </si>
  <si>
    <t xml:space="preserve"> 支持科技进步支出</t>
  </si>
  <si>
    <t>二、节能环保支出</t>
  </si>
  <si>
    <t>三、城乡社区支出</t>
  </si>
  <si>
    <t xml:space="preserve"> 公益性设施投资补助支出</t>
  </si>
  <si>
    <t>四、交通运输支出</t>
  </si>
  <si>
    <t xml:space="preserve"> 国有经济结构调整支出</t>
  </si>
  <si>
    <t>五、资源勘探信息等支出</t>
  </si>
  <si>
    <t xml:space="preserve">    战略性产业发展支出</t>
  </si>
  <si>
    <t xml:space="preserve">    支持科技进步支出</t>
  </si>
  <si>
    <t>六、商业服务业等支出</t>
  </si>
  <si>
    <t xml:space="preserve">    对外投资合作支出</t>
  </si>
  <si>
    <t>七、其他支出</t>
  </si>
  <si>
    <t xml:space="preserve"> 其他国有资本经营预算支出</t>
  </si>
  <si>
    <t xml:space="preserve">八、转移性支出 </t>
  </si>
  <si>
    <t xml:space="preserve">    国有资本经营预算调出资金</t>
  </si>
  <si>
    <t>财政拨款口径支出合计</t>
  </si>
  <si>
    <t>2013年</t>
  </si>
  <si>
    <t>工资福利支出</t>
  </si>
  <si>
    <t>基本工资</t>
  </si>
  <si>
    <t>商品和服务支出</t>
  </si>
  <si>
    <t>津贴补贴</t>
  </si>
  <si>
    <t>对个人和家庭的补助</t>
  </si>
  <si>
    <t>奖金</t>
  </si>
  <si>
    <t>基本建设支出</t>
  </si>
  <si>
    <t>伙食补助费</t>
  </si>
  <si>
    <t>其他资本性支出</t>
  </si>
  <si>
    <t>绩效工资</t>
  </si>
  <si>
    <t>其他支出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</si>
  <si>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</si>
  <si>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</si>
  <si>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</si>
  <si>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</si>
  <si>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</si>
  <si>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</si>
  <si>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</si>
  <si>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</si>
  <si>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</si>
  <si>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</si>
  <si>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</si>
  <si>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</si>
  <si>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</si>
  <si>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</si>
  <si>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</si>
  <si>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</si>
  <si>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</si>
  <si>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</si>
  <si>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</si>
  <si>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</si>
  <si>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</si>
  <si>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</si>
  <si>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</si>
  <si>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</si>
  <si>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</si>
  <si>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</si>
  <si>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</si>
  <si>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</si>
  <si>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</si>
  <si>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</si>
  <si>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</si>
  <si>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</si>
  <si>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</si>
  <si>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</si>
  <si>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</si>
  <si>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</si>
  <si>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</si>
  <si>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</si>
  <si>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</si>
  <si>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</si>
  <si>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</si>
  <si>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</si>
  <si>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</si>
  <si>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</si>
  <si>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天津市北辰区2017年国有资本经营决算情况表</t>
  </si>
  <si>
    <t>北辰区2017年国有资本经营收入决算情况表</t>
  </si>
  <si>
    <r>
      <t>执行为201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年决算%</t>
    </r>
  </si>
  <si>
    <r>
      <t>北辰区201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年国有资本经营支出决算执行情况表</t>
    </r>
  </si>
  <si>
    <t>天津市北辰区2017年社会保险基金</t>
  </si>
  <si>
    <t>北辰区2017年社会保险基金收入决算情况表</t>
  </si>
  <si>
    <t>执行为2016年决算%</t>
  </si>
  <si>
    <r>
      <t>北辰区201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年社会保险基金支出决算执行情况表</t>
    </r>
  </si>
  <si>
    <t>北辰区2017年政府债务情况表</t>
  </si>
  <si>
    <r>
      <t>一、201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年末政府债务余额</t>
    </r>
  </si>
  <si>
    <r>
      <t>二、201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年末政府债务余额限额</t>
    </r>
  </si>
  <si>
    <r>
      <t>三、201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年政府债务举借额</t>
    </r>
  </si>
  <si>
    <r>
      <t>四、201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年政府债务还本额</t>
    </r>
  </si>
  <si>
    <r>
      <t>五、201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 xml:space="preserve">年末政府债余额 </t>
    </r>
  </si>
  <si>
    <t>天津市北辰区2017年政府性基金决算情况表</t>
  </si>
  <si>
    <t>2、新增费调至一般预算</t>
  </si>
  <si>
    <r>
      <t>执行为201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年决算%</t>
    </r>
  </si>
  <si>
    <r>
      <t>北辰区201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年政府性基金收入决算情况表</t>
    </r>
  </si>
  <si>
    <r>
      <t>北辰区201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年政府性基金支出决算情况表</t>
    </r>
  </si>
  <si>
    <r>
      <t>北辰区2017</t>
    </r>
    <r>
      <rPr>
        <b/>
        <sz val="16"/>
        <rFont val="宋体"/>
        <family val="0"/>
      </rPr>
      <t>年政府性基金支出决算情况表</t>
    </r>
    <r>
      <rPr>
        <b/>
        <sz val="16"/>
        <rFont val="宋体"/>
        <family val="0"/>
      </rPr>
      <t>-区本级</t>
    </r>
  </si>
  <si>
    <t>表十四：</t>
  </si>
  <si>
    <t>农村垃圾处理工程区配套资金</t>
  </si>
  <si>
    <t>宇通物流2015年度营改增扶持政策市补</t>
  </si>
  <si>
    <t>功能科目</t>
  </si>
  <si>
    <t>完成%</t>
  </si>
  <si>
    <t>金额</t>
  </si>
  <si>
    <t>一、市对区转移支付</t>
  </si>
  <si>
    <t>2016年旅游发展专项基金补助地方项目-2017-2号</t>
  </si>
  <si>
    <t>2017年提前告知-2016-126号</t>
  </si>
  <si>
    <t>提前下达社保第三批-2016-155号</t>
  </si>
  <si>
    <t>2016年养老服务市级补助-2017-21号</t>
  </si>
  <si>
    <t>2017年体育彩票公益金提前告知-2016-135号</t>
  </si>
  <si>
    <t>全民健身及青少年体育经费-2017-7号</t>
  </si>
  <si>
    <t>95平方公里城市建设土地出让金</t>
  </si>
  <si>
    <t xml:space="preserve">      2120803 城市建设支出</t>
  </si>
  <si>
    <t>95平方城市建设土地出让金</t>
  </si>
  <si>
    <t>现代都市型农业-种植业标准-2017-14号</t>
  </si>
  <si>
    <t xml:space="preserve">      21211 农业土地开发资金及对应专项债务收入安排的支出</t>
  </si>
  <si>
    <t>做强做大渔业重点龙头企业试点项目-2017-14号</t>
  </si>
  <si>
    <t>一、市对区税收返还</t>
  </si>
  <si>
    <t xml:space="preserve">  增值税和消费税税收返还支出</t>
  </si>
  <si>
    <t xml:space="preserve">  所得税基数返还支出</t>
  </si>
  <si>
    <t xml:space="preserve">  营改增基数返还支出</t>
  </si>
  <si>
    <t>二、市对区转移支付</t>
  </si>
  <si>
    <t xml:space="preserve">      2011006 军队转业干部安置</t>
  </si>
  <si>
    <t xml:space="preserve">      2011308 招商引资</t>
  </si>
  <si>
    <t xml:space="preserve">      2011406 专利试点和产业化推进</t>
  </si>
  <si>
    <t xml:space="preserve">      2050201 学前教育</t>
  </si>
  <si>
    <t xml:space="preserve">      2050202 小学教育</t>
  </si>
  <si>
    <t xml:space="preserve">      2050203 初中教育</t>
  </si>
  <si>
    <t xml:space="preserve">      2050204 高中教育</t>
  </si>
  <si>
    <t xml:space="preserve">      2050299 其他普通教育支出</t>
  </si>
  <si>
    <t xml:space="preserve">      2050302 中专教育</t>
  </si>
  <si>
    <t xml:space="preserve">      2050701 特殊学校教育</t>
  </si>
  <si>
    <t xml:space="preserve">      2050905 中等职业学校教学设施</t>
  </si>
  <si>
    <t xml:space="preserve">      2050999 其他教育费附加安排的支出</t>
  </si>
  <si>
    <t xml:space="preserve">      2060402 应用技术研究与开发</t>
  </si>
  <si>
    <t xml:space="preserve">      2060403 产业技术研究与开发</t>
  </si>
  <si>
    <t xml:space="preserve">      2060899 其他科技交流与合作支出</t>
  </si>
  <si>
    <t xml:space="preserve">      2060901 科技重大专项</t>
  </si>
  <si>
    <t xml:space="preserve">      2070104 图书馆</t>
  </si>
  <si>
    <t xml:space="preserve">      2070109 群众文化</t>
  </si>
  <si>
    <t xml:space="preserve">      2080109 社会保险经办机构</t>
  </si>
  <si>
    <t xml:space="preserve">      2080111 公共就业服务和职业技能鉴定机构</t>
  </si>
  <si>
    <t xml:space="preserve">      2080208 基层政权和社区建设</t>
  </si>
  <si>
    <t xml:space="preserve">      2080599 其他行政事业单位离退休支出</t>
  </si>
  <si>
    <t xml:space="preserve">      2080705 公益性岗位补贴</t>
  </si>
  <si>
    <t xml:space="preserve">      2080799 其他就业补助支出</t>
  </si>
  <si>
    <t xml:space="preserve">      2080803 在乡复员、退伍军人生活补助</t>
  </si>
  <si>
    <t xml:space="preserve">      2080805 义务兵优待</t>
  </si>
  <si>
    <t xml:space="preserve">      2080901 退役士兵安置</t>
  </si>
  <si>
    <t xml:space="preserve">      2080902 军队移交政府的离退休人员安置</t>
  </si>
  <si>
    <t xml:space="preserve">      2080903 军队移交政府离退休干部管理机构</t>
  </si>
  <si>
    <t xml:space="preserve">      2081001 儿童福利</t>
  </si>
  <si>
    <t xml:space="preserve">      2081002 老年福利</t>
  </si>
  <si>
    <r>
      <t xml:space="preserve">      208110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残疾人就业和扶贫</t>
    </r>
  </si>
  <si>
    <t xml:space="preserve">      2081105 残疾人就业和扶贫</t>
  </si>
  <si>
    <t xml:space="preserve">      2081107 残疾人生活和护理补贴</t>
  </si>
  <si>
    <t xml:space="preserve">      2081901 城市最低生活保障金支出</t>
  </si>
  <si>
    <t xml:space="preserve">      2081902 农村最低生活保障金支出</t>
  </si>
  <si>
    <t xml:space="preserve">      2082001 临时救助支出</t>
  </si>
  <si>
    <t xml:space="preserve">      2082501 其他城市生活救助</t>
  </si>
  <si>
    <t xml:space="preserve">      2082602 财政对城乡居民基本养老保险基金的补助</t>
  </si>
  <si>
    <t xml:space="preserve">      2089901 其他社会保障和就业支出</t>
  </si>
  <si>
    <t xml:space="preserve">      2100201 综合医院</t>
  </si>
  <si>
    <t xml:space="preserve">      2100301 城市社区卫生机构</t>
  </si>
  <si>
    <t xml:space="preserve">      2100302 乡镇卫生院</t>
  </si>
  <si>
    <t xml:space="preserve">      2100408 基本公共卫生服务</t>
  </si>
  <si>
    <t xml:space="preserve">      2100601 中医（民族医）药专项</t>
  </si>
  <si>
    <t xml:space="preserve">      2100717 计划生育服务</t>
  </si>
  <si>
    <t xml:space="preserve">      2101199 其他行政事业单位医疗支出</t>
  </si>
  <si>
    <t xml:space="preserve">      2101202 财政对城乡居民基本医疗保险基金的补助</t>
  </si>
  <si>
    <t xml:space="preserve">      2101301 城乡医疗救助</t>
  </si>
  <si>
    <t xml:space="preserve">      2101401 优抚对象医疗补助</t>
  </si>
  <si>
    <t xml:space="preserve">      2110301 大气</t>
  </si>
  <si>
    <t xml:space="preserve">      2120201 城乡社区规划与管理</t>
  </si>
  <si>
    <t xml:space="preserve">      2120399 其他城乡社区公共设施支出</t>
  </si>
  <si>
    <t xml:space="preserve">      2120501 城乡社区环境卫生</t>
  </si>
  <si>
    <t xml:space="preserve">      2130152 对高校毕业生到基层任职补助</t>
  </si>
  <si>
    <t xml:space="preserve">      2130603 产业化经营</t>
  </si>
  <si>
    <t xml:space="preserve">      2130804 小额担保贷款贴息</t>
  </si>
  <si>
    <t xml:space="preserve">      2140106 公路养护</t>
  </si>
  <si>
    <t xml:space="preserve">      2140206 铁路安全</t>
  </si>
  <si>
    <t xml:space="preserve">      2150209 电气机械及器材制造业</t>
  </si>
  <si>
    <t xml:space="preserve">      2150605 安全监管监察专项</t>
  </si>
  <si>
    <t xml:space="preserve">      2159904 技术改造支出</t>
  </si>
  <si>
    <t xml:space="preserve">      2160299 其他商业流通事务支出</t>
  </si>
  <si>
    <t xml:space="preserve">      2160699 其他涉外发展服务支出</t>
  </si>
  <si>
    <t xml:space="preserve">      2169901 服务业基础设施建设</t>
  </si>
  <si>
    <t>市级医疗救助资金和归集市区两级医疗救助资金-2017-61号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</si>
  <si>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2101301 城乡医疗救助</t>
    </r>
  </si>
  <si>
    <t>中心城区老旧小区及远年住房改造市级以奖代补资金-2017-81号</t>
  </si>
  <si>
    <t xml:space="preserve">      2120399 其他城乡社区公共设施支出</t>
  </si>
  <si>
    <t>科技转化与推广服务资金-2017-98号</t>
  </si>
  <si>
    <t xml:space="preserve">      2130106 科技转化与推广服务</t>
  </si>
  <si>
    <t>现代产业技术体系-2017-14号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</si>
  <si>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2130106 科技转化与推广服务</t>
    </r>
  </si>
  <si>
    <t>农民教育培训-2017-14号</t>
  </si>
  <si>
    <t>村级动物防疫体系建设-2017-14号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</si>
  <si>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2130108 病虫害控制</t>
    </r>
  </si>
  <si>
    <t>金农奖-2017-14号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</si>
  <si>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2130109 农产品质量安全</t>
    </r>
  </si>
  <si>
    <r>
      <t>天津市放心猪肉工程-</t>
    </r>
    <r>
      <rPr>
        <sz val="12"/>
        <rFont val="宋体"/>
        <family val="0"/>
      </rPr>
      <t>2017-14号</t>
    </r>
  </si>
  <si>
    <t>蔬菜基地质量安全体系-2017-14号</t>
  </si>
  <si>
    <t xml:space="preserve">      2130109 农产品质量安全</t>
  </si>
  <si>
    <t>农民收入倍增计划调查监测-2017-14号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</si>
  <si>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2130111 统计监测与信息服务</t>
    </r>
  </si>
  <si>
    <t>农村财会人员培训-2017-14号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</si>
  <si>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2130112 农业行业业务管理</t>
    </r>
  </si>
  <si>
    <t>蔬菜集约化育苗-2017-14号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</si>
  <si>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2130121 农业结构调整补贴</t>
    </r>
  </si>
  <si>
    <t>种植业结构调整补贴-2017-14号</t>
  </si>
  <si>
    <t>2017年农业支持保护补贴工作经费-2017-34号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</si>
  <si>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2130122 农业生产支持补贴</t>
    </r>
  </si>
  <si>
    <t>棉花种植补贴-2017-14号</t>
  </si>
  <si>
    <t>市财政农机购置补贴-2017-14号</t>
  </si>
  <si>
    <t>农机深松整地及激光平地作业补贴-2017-14号</t>
  </si>
  <si>
    <t>中央财政农机购置补贴-2016-82号</t>
  </si>
  <si>
    <t>市级财政农业支持保护补贴-2017-14号</t>
  </si>
  <si>
    <t>农民负担监测点及监测人员补助-2017-14号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</si>
  <si>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2130124 农业组织化与产业化经营</t>
    </r>
  </si>
  <si>
    <t>拨付中央财政2017年农业发展资金（第二批）</t>
  </si>
  <si>
    <t>2016年示范工业园区年度考核奖励资金-2017-35号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</si>
  <si>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2130125 农产品加工与促销</t>
    </r>
  </si>
  <si>
    <t>支持苜蓿产业发展-2017-14号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</si>
  <si>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2130135 农业资源保护修复与利用</t>
    </r>
  </si>
  <si>
    <t>农作物秸秆综合利用-2017-14号</t>
  </si>
  <si>
    <t>2016年（第二批）和2017年渔业中央油补政策调整-2017-21号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</si>
  <si>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2130148 成品油价格改革对渔业的补贴</t>
    </r>
  </si>
  <si>
    <t>2017年市级重点生态林管护-2017-14号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</si>
  <si>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2130205 森林培育</t>
    </r>
  </si>
  <si>
    <t>天津古树木古木资源普查-2017-14号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</si>
  <si>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2130208 森林资源监测</t>
    </r>
  </si>
  <si>
    <t>森林资源连续清查第五次复查-2017-14号</t>
  </si>
  <si>
    <t>古树古木保护-2017-14号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</si>
  <si>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2130211 动植物保护</t>
    </r>
  </si>
  <si>
    <t>高致病性禽流感防护-2017-14号</t>
  </si>
  <si>
    <t>爱鸟护鸟行动-2017-14号</t>
  </si>
  <si>
    <t>林业有害生物监测预报-2017-14号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</si>
  <si>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2130234 森林防灾减灾</t>
    </r>
  </si>
  <si>
    <t>2017年中央财政林业改革发展（林业有害生物防治补助）-2017-19号</t>
  </si>
  <si>
    <t>2017年市级财政林业病虫害防治补助-2017-14号</t>
  </si>
  <si>
    <t>河道水生态环境管理以奖代补-2017-14号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</si>
  <si>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2130311 水资源节约管理与保护</t>
    </r>
  </si>
  <si>
    <t>支持500个困难村建设-2017-14号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</si>
  <si>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2130505 生产发展</t>
    </r>
  </si>
  <si>
    <t>村干部报酬补助-2017-14号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</si>
  <si>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2130705 对村民委员会和村党支部的补助</t>
    </r>
  </si>
  <si>
    <t>农业农村保险保费补贴-2017-14号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</si>
  <si>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2130803 农业保险保费补贴</t>
    </r>
  </si>
  <si>
    <t>表十：</t>
  </si>
  <si>
    <t xml:space="preserve">    216 商业服务业等支出</t>
  </si>
  <si>
    <t xml:space="preserve">    205 教育支出</t>
  </si>
  <si>
    <t xml:space="preserve">    206 科学技术支出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</si>
  <si>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213 农林水支出</t>
    </r>
  </si>
  <si>
    <t xml:space="preserve">      21011 行政事业单位医疗</t>
  </si>
  <si>
    <t xml:space="preserve">        2101199 其他行政事业单位医疗支出</t>
  </si>
  <si>
    <t xml:space="preserve">        2010302 一般行政管理事务</t>
  </si>
  <si>
    <t xml:space="preserve">        2010303 机关服务</t>
  </si>
  <si>
    <t xml:space="preserve">        2010307 法制建设</t>
  </si>
  <si>
    <t xml:space="preserve">        2010308 信访事务</t>
  </si>
  <si>
    <t xml:space="preserve">        2010399 其他政府办公厅（室）及相关机构事务支出</t>
  </si>
  <si>
    <t xml:space="preserve">        2011302 一般行政管理事务</t>
  </si>
  <si>
    <t xml:space="preserve">        2011308 招商引资</t>
  </si>
  <si>
    <t xml:space="preserve">        2011399 其他商贸事务支出</t>
  </si>
  <si>
    <t xml:space="preserve">        2040202 一般行政管理事务</t>
  </si>
  <si>
    <t xml:space="preserve">        2040206 刑事侦查</t>
  </si>
  <si>
    <t xml:space="preserve">        2040209 行动技术管理</t>
  </si>
  <si>
    <t xml:space="preserve">        2040211 禁毒管理</t>
  </si>
  <si>
    <t xml:space="preserve">        2040212 道路交通管理</t>
  </si>
  <si>
    <t xml:space="preserve">        2040214 反恐怖</t>
  </si>
  <si>
    <t xml:space="preserve">        2040216 网络运行及维护</t>
  </si>
  <si>
    <t xml:space="preserve">        2040299 其他公安支出</t>
  </si>
  <si>
    <t xml:space="preserve">        2040502 一般行政管理事务</t>
  </si>
  <si>
    <t xml:space="preserve">        2040505 案件执行</t>
  </si>
  <si>
    <t xml:space="preserve">        2040506 “两庭”建设</t>
  </si>
  <si>
    <t xml:space="preserve">        2040599 其他法院支出</t>
  </si>
  <si>
    <t xml:space="preserve">        2050904 城市中小学教学设施</t>
  </si>
  <si>
    <t xml:space="preserve">        2050905 中等职业学校教学设施</t>
  </si>
  <si>
    <t xml:space="preserve">        2060901 科技重大专项</t>
  </si>
  <si>
    <t xml:space="preserve">        2080102 一般行政管理事务</t>
  </si>
  <si>
    <t xml:space="preserve">        2080109 社会保险经办机构</t>
  </si>
  <si>
    <t xml:space="preserve">        2080199 其他人力资源和社会保障管理事务支出</t>
  </si>
  <si>
    <t xml:space="preserve">        2080599 其他行政事业单位离退休支出</t>
  </si>
  <si>
    <t xml:space="preserve">        2081107 残疾人生活和护理补贴</t>
  </si>
  <si>
    <t xml:space="preserve">        2100399 其他基层医疗卫生机构支出</t>
  </si>
  <si>
    <t xml:space="preserve">        2101012 药品事务</t>
  </si>
  <si>
    <t xml:space="preserve">        2101016 食品安全事务</t>
  </si>
  <si>
    <t xml:space="preserve">        2101099 其他食品和药品监督管理事务支出</t>
  </si>
  <si>
    <t xml:space="preserve">      21012 财政对基本医疗保险基金的补助</t>
  </si>
  <si>
    <t xml:space="preserve">        2101201 财政对城镇职工基本医疗保险基金的补助</t>
  </si>
  <si>
    <t xml:space="preserve">        2101202 财政对城乡居民基本医疗保险基金的补助</t>
  </si>
  <si>
    <t xml:space="preserve">        2101204 财政对城镇居民基本医疗保险基金的补助</t>
  </si>
  <si>
    <t xml:space="preserve">      21013 医疗救助</t>
  </si>
  <si>
    <t xml:space="preserve">        2101301 城乡医疗救助</t>
  </si>
  <si>
    <t xml:space="preserve">        2101399 其他医疗救助支出</t>
  </si>
  <si>
    <t xml:space="preserve">      21014 优抚对象医疗</t>
  </si>
  <si>
    <t xml:space="preserve">        2101401 优抚对象医疗补助</t>
  </si>
  <si>
    <t xml:space="preserve">      21099 其他医疗卫生与计划生育支出</t>
  </si>
  <si>
    <t xml:space="preserve">        2109901 其他医疗卫生与计划生育支出</t>
  </si>
  <si>
    <t xml:space="preserve">        2110105 环境保护法规、规划及标准</t>
  </si>
  <si>
    <t xml:space="preserve">        2110401 生态保护</t>
  </si>
  <si>
    <t xml:space="preserve">        2120102 一般行政管理事务</t>
  </si>
  <si>
    <t xml:space="preserve">        2130121 农业结构调整补贴</t>
  </si>
  <si>
    <t xml:space="preserve">        2130125 农产品加工与促销</t>
  </si>
  <si>
    <t xml:space="preserve">        2130321 大中型水库移民后期扶持专项支出</t>
  </si>
  <si>
    <t xml:space="preserve">      21402 铁路运输</t>
  </si>
  <si>
    <t xml:space="preserve">        2140206 铁路安全</t>
  </si>
  <si>
    <t xml:space="preserve">      21901 一般公共服务</t>
  </si>
  <si>
    <t xml:space="preserve">      21902 教育</t>
  </si>
  <si>
    <t xml:space="preserve">      21904 医疗卫生</t>
  </si>
  <si>
    <t xml:space="preserve">      21999 其他支出</t>
  </si>
  <si>
    <t xml:space="preserve">        2200109 国土资源调查</t>
  </si>
  <si>
    <t xml:space="preserve">        2200110 国土整治</t>
  </si>
  <si>
    <t xml:space="preserve">        2200410 防震减灾基础管理</t>
  </si>
  <si>
    <t>单位：万元</t>
  </si>
  <si>
    <t>项目名称</t>
  </si>
  <si>
    <t>一、基本支出小计</t>
  </si>
  <si>
    <t>工资福利支出小计</t>
  </si>
  <si>
    <t>其他社会保障缴费</t>
  </si>
  <si>
    <t>信息网络及软件购置更新</t>
  </si>
  <si>
    <t>机关事业单位基本养老保险缴费</t>
  </si>
  <si>
    <t>职业年金缴费</t>
  </si>
  <si>
    <t>商品服务支出小计</t>
  </si>
  <si>
    <t>产权参股</t>
  </si>
  <si>
    <t>赠与</t>
  </si>
  <si>
    <t>贷款转贷</t>
  </si>
  <si>
    <t>二、项目支出小计</t>
  </si>
  <si>
    <t>对企事业单位的补贴</t>
  </si>
  <si>
    <t>转移性支出</t>
  </si>
  <si>
    <t>债务利息支出</t>
  </si>
  <si>
    <t>对个人家庭补助支出小计</t>
  </si>
  <si>
    <t>四、预备费及周转金</t>
  </si>
  <si>
    <t>总计</t>
  </si>
  <si>
    <r>
      <t>执行为201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年决算%</t>
    </r>
  </si>
  <si>
    <t xml:space="preserve">        2101101 行政单位医疗</t>
  </si>
  <si>
    <t xml:space="preserve">        2101102 事业单位医疗</t>
  </si>
  <si>
    <t xml:space="preserve">        2101103 公务员医疗补助</t>
  </si>
  <si>
    <t xml:space="preserve">        2101199 其他行政事业单位医疗支出</t>
  </si>
  <si>
    <t xml:space="preserve">        2010502 一般行政管理事务</t>
  </si>
  <si>
    <t xml:space="preserve">        2010504 信息事务</t>
  </si>
  <si>
    <t xml:space="preserve">        2010505 专项统计业务</t>
  </si>
  <si>
    <t xml:space="preserve">        2010507 专项普查活动</t>
  </si>
  <si>
    <t xml:space="preserve">        2010508 统计抽样调查</t>
  </si>
  <si>
    <r>
      <t xml:space="preserve">      208</t>
    </r>
    <r>
      <rPr>
        <sz val="12"/>
        <rFont val="宋体"/>
        <family val="0"/>
      </rPr>
      <t>26</t>
    </r>
    <r>
      <rPr>
        <sz val="12"/>
        <rFont val="宋体"/>
        <family val="0"/>
      </rPr>
      <t xml:space="preserve"> 财政对社会保险基金的补助</t>
    </r>
  </si>
  <si>
    <r>
      <t xml:space="preserve">        208</t>
    </r>
    <r>
      <rPr>
        <sz val="12"/>
        <rFont val="宋体"/>
        <family val="0"/>
      </rPr>
      <t>2602</t>
    </r>
    <r>
      <rPr>
        <sz val="12"/>
        <rFont val="宋体"/>
        <family val="0"/>
      </rPr>
      <t xml:space="preserve"> 财政对城乡居民基本养老保险基金的补助</t>
    </r>
  </si>
  <si>
    <r>
      <t xml:space="preserve">        21114</t>
    </r>
    <r>
      <rPr>
        <sz val="12"/>
        <rFont val="宋体"/>
        <family val="0"/>
      </rP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能源管理</t>
    </r>
  </si>
  <si>
    <t xml:space="preserve">      21114 能源管理事务</t>
  </si>
  <si>
    <t xml:space="preserve">        2140112 公路运输管理</t>
  </si>
  <si>
    <t xml:space="preserve">        2050202 小学教育</t>
  </si>
  <si>
    <t xml:space="preserve">        2100499 其他公共卫生支出</t>
  </si>
  <si>
    <t xml:space="preserve">      21006 中医药</t>
  </si>
  <si>
    <t xml:space="preserve">        2210106 公共租赁住房</t>
  </si>
  <si>
    <t xml:space="preserve">        2210199 其他保障性安居工程支出</t>
  </si>
  <si>
    <t xml:space="preserve">        2210105 农村危房改造</t>
  </si>
  <si>
    <t xml:space="preserve">      22101 保障性安居工程支出</t>
  </si>
  <si>
    <t xml:space="preserve">    221 住房保障支出</t>
  </si>
  <si>
    <t xml:space="preserve">      20129 群众团体事务</t>
  </si>
  <si>
    <t xml:space="preserve">        2012902 一般行政管理事务</t>
  </si>
  <si>
    <r>
      <t xml:space="preserve">      210</t>
    </r>
    <r>
      <rPr>
        <sz val="12"/>
        <rFont val="宋体"/>
        <family val="0"/>
      </rPr>
      <t>11</t>
    </r>
    <r>
      <rPr>
        <sz val="12"/>
        <rFont val="宋体"/>
        <family val="0"/>
      </rPr>
      <t xml:space="preserve"> 医疗保障</t>
    </r>
  </si>
  <si>
    <t xml:space="preserve">        2040217 拘押收教场所管理</t>
  </si>
  <si>
    <t xml:space="preserve">      2050205 高等教育</t>
  </si>
  <si>
    <t xml:space="preserve">      2059999 其他教育支出</t>
  </si>
  <si>
    <t xml:space="preserve">      2060303 高技术研究</t>
  </si>
  <si>
    <t xml:space="preserve">      2060404 科技成果转化与扩散</t>
  </si>
  <si>
    <t xml:space="preserve">      2080904 退役士兵管理教育</t>
  </si>
  <si>
    <t xml:space="preserve">      2111199 其他污染减排支出</t>
  </si>
  <si>
    <t xml:space="preserve">      2111408 能源管理</t>
  </si>
  <si>
    <t>2017年农业综合开发第二批资金-2017-3号</t>
  </si>
  <si>
    <t xml:space="preserve">      2150805 中小企业发展专项</t>
  </si>
  <si>
    <t xml:space="preserve">      2160599 其他旅游业管理与服务支出</t>
  </si>
  <si>
    <t xml:space="preserve">      2200110 国土整治</t>
  </si>
  <si>
    <t>2017年市级养老服务补贴资金-2017-94号</t>
  </si>
  <si>
    <t>老年福利项目-2017-116号</t>
  </si>
  <si>
    <t>农村示范社区财政补助资金-2017-107号</t>
  </si>
  <si>
    <t>农业生产支持补贴-2017-47号</t>
  </si>
  <si>
    <r>
      <t>执行为201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年决算%</t>
    </r>
  </si>
  <si>
    <t>②暂存款调入</t>
  </si>
  <si>
    <t>摘要</t>
  </si>
  <si>
    <t>支出合计</t>
  </si>
  <si>
    <t>天津市北辰区小淀镇财政所</t>
  </si>
  <si>
    <t>因公出国经费</t>
  </si>
  <si>
    <t>天津市北辰区西堤头镇财政所</t>
  </si>
  <si>
    <t>2017年交通信号灯电费</t>
  </si>
  <si>
    <t>天津市北辰区大张庄镇人民政府财政办公室</t>
  </si>
  <si>
    <t>天津市北辰区双口镇财政所</t>
  </si>
  <si>
    <t>天津市北辰区北仓镇财政所</t>
  </si>
  <si>
    <t>天津市北辰区天穆镇财政所</t>
  </si>
  <si>
    <t>天津市北辰区青光镇财政所</t>
  </si>
  <si>
    <t>天津市北辰区宜兴埠镇财政所</t>
  </si>
  <si>
    <t>天津市北辰区双街镇财政所</t>
  </si>
  <si>
    <t>2016年劳动保障服务机构经费补助-2015-101号</t>
  </si>
  <si>
    <t>居委会退养人员经费</t>
  </si>
  <si>
    <t>居委会人员经费</t>
  </si>
  <si>
    <t>2017年优抚对象死亡抚恤补助</t>
  </si>
  <si>
    <t>2018年优抚对象死亡抚恤补助</t>
  </si>
  <si>
    <t>2019年优抚对象死亡抚恤补助</t>
  </si>
  <si>
    <t>2020年优抚对象死亡抚恤补助</t>
  </si>
  <si>
    <t>2021年优抚对象死亡抚恤补助</t>
  </si>
  <si>
    <t>2022年优抚对象死亡抚恤补助</t>
  </si>
  <si>
    <t>2023年优抚对象死亡抚恤补助</t>
  </si>
  <si>
    <t>2024年优抚对象死亡抚恤补助</t>
  </si>
  <si>
    <t>2017年优抚对象伤残抚恤补助</t>
  </si>
  <si>
    <t>2018年优抚对象伤残抚恤补助</t>
  </si>
  <si>
    <t>2019年优抚对象伤残抚恤补助</t>
  </si>
  <si>
    <t>2020年优抚对象伤残抚恤补助</t>
  </si>
  <si>
    <t>2021年优抚对象伤残抚恤补助</t>
  </si>
  <si>
    <t>2022年优抚对象伤残抚恤补助</t>
  </si>
  <si>
    <t>2023年优抚对象伤残抚恤补助</t>
  </si>
  <si>
    <t>2024年优抚对象伤残抚恤补助</t>
  </si>
  <si>
    <t>2017年在乡复员、退伍军人生活补助</t>
  </si>
  <si>
    <t>2018年在乡复员、退伍军人生活补助</t>
  </si>
  <si>
    <t>2019年在乡复员、退伍军人生活补助</t>
  </si>
  <si>
    <t>2020年在乡复员、退伍军人生活补助</t>
  </si>
  <si>
    <t>2021年在乡复员、退伍军人生活补助</t>
  </si>
  <si>
    <t>2022年在乡复员、退伍军人生活补助</t>
  </si>
  <si>
    <t>2023年在乡复员、退伍军人生活补助</t>
  </si>
  <si>
    <t>2024年在乡复员、退伍军人生活补助</t>
  </si>
  <si>
    <t>2025年在乡复员、退伍军人生活补助</t>
  </si>
  <si>
    <t>2016年西堤头危房改造补助-2014-1076号</t>
  </si>
  <si>
    <t>综合服务队职工生活保障补助资金</t>
  </si>
  <si>
    <t>2017年城市最低生活保障金</t>
  </si>
  <si>
    <t>2018年城市最低生活保障金</t>
  </si>
  <si>
    <t>2019年城市最低生活保障金</t>
  </si>
  <si>
    <t>2020年城市最低生活保障金</t>
  </si>
  <si>
    <t>2021年城市最低生活保障金</t>
  </si>
  <si>
    <t>2022年城市最低生活保障金</t>
  </si>
  <si>
    <t>2023年城市最低生活保障金</t>
  </si>
  <si>
    <t>2024年城市最低生活保障金</t>
  </si>
  <si>
    <t>2025年城市最低生活保障金</t>
  </si>
  <si>
    <t>2017年农村最低生活保障金</t>
  </si>
  <si>
    <t>2018年农村最低生活保障金</t>
  </si>
  <si>
    <t>2019年农村最低生活保障金</t>
  </si>
  <si>
    <t>2020年农村最低生活保障金</t>
  </si>
  <si>
    <t>2021年农村最低生活保障金</t>
  </si>
  <si>
    <t>2022年农村最低生活保障金</t>
  </si>
  <si>
    <t>2023年农村最低生活保障金</t>
  </si>
  <si>
    <t>2024年农村最低生活保障金</t>
  </si>
  <si>
    <t>2025年农村最低生活保障金</t>
  </si>
  <si>
    <t>2017年大气专职网格监督员补助-2017-108</t>
  </si>
  <si>
    <t>2017年大气专职网格监督员补助</t>
  </si>
  <si>
    <t>综合便民服务中心建设资金</t>
  </si>
  <si>
    <t>青光镇退回专项资金</t>
  </si>
  <si>
    <t>生活垃圾处理费</t>
  </si>
  <si>
    <t>经济发达镇补助</t>
  </si>
  <si>
    <t>2016年度在职村干部工作报酬和离任村干部生活补贴</t>
  </si>
  <si>
    <t>铁路护路联防队2017年度专项经费</t>
  </si>
  <si>
    <t>2016年西堤头危房改造补助-2014-796号</t>
  </si>
  <si>
    <t>2017年区镇体制结算-异地企业经营划转</t>
  </si>
  <si>
    <t>2017年区镇体制结算-异地经营企业划转</t>
  </si>
  <si>
    <t>2017年区镇体制结算-居委会经费</t>
  </si>
  <si>
    <t>2017年区镇体制结算-镇域内土整补助</t>
  </si>
  <si>
    <t>2017年区镇体制结算-体制核定补助基数</t>
  </si>
  <si>
    <t>6、动用预算稳定调节基金（区本级）</t>
  </si>
  <si>
    <t>⑤专用基金调入</t>
  </si>
  <si>
    <t>⑥部门上交款及债券利息</t>
  </si>
  <si>
    <t>⑦新增费</t>
  </si>
  <si>
    <t xml:space="preserve">      2110302 水体</t>
  </si>
  <si>
    <t>2016年可比收入</t>
  </si>
  <si>
    <t xml:space="preserve">  三、街、园区体制资金</t>
  </si>
  <si>
    <t>三、街道园区体制资金</t>
  </si>
  <si>
    <t xml:space="preserve">    20103 政府办公厅（室）及相关机构事务</t>
  </si>
  <si>
    <t xml:space="preserve">      2010301 行政运行</t>
  </si>
  <si>
    <t xml:space="preserve">      2010302 一般行政管理事务</t>
  </si>
  <si>
    <t xml:space="preserve">      2010307 法制建设</t>
  </si>
  <si>
    <t xml:space="preserve">      2010308 信访事务</t>
  </si>
  <si>
    <t xml:space="preserve">    20106 财政事务</t>
  </si>
  <si>
    <t xml:space="preserve">      2010602 一般行政管理事务</t>
  </si>
  <si>
    <t xml:space="preserve">    20113 商贸事务</t>
  </si>
  <si>
    <t xml:space="preserve">      2011302 一般行政管理事务</t>
  </si>
  <si>
    <t xml:space="preserve">    20131 党委办公厅（室）及相关机构事务</t>
  </si>
  <si>
    <t xml:space="preserve">      2013102 一般行政管理事务</t>
  </si>
  <si>
    <t xml:space="preserve">    20133 宣传事务</t>
  </si>
  <si>
    <t xml:space="preserve">      2013302 一般行政管理事务</t>
  </si>
  <si>
    <t xml:space="preserve">    20199 其他一般公共服务支出</t>
  </si>
  <si>
    <t xml:space="preserve">      2019999 其他一般公共服务支出</t>
  </si>
  <si>
    <t xml:space="preserve">    20406 司法</t>
  </si>
  <si>
    <t xml:space="preserve">      2040605 普法宣传</t>
  </si>
  <si>
    <t xml:space="preserve">      2040607 法律援助</t>
  </si>
  <si>
    <t xml:space="preserve">    20499 其他公共安全支出</t>
  </si>
  <si>
    <t xml:space="preserve">      2049901 其他公共安全支出</t>
  </si>
  <si>
    <t xml:space="preserve">    20502 普通教育</t>
  </si>
  <si>
    <t xml:space="preserve">    20607 科学技术普及</t>
  </si>
  <si>
    <t xml:space="preserve">      2060702 科普活动</t>
  </si>
  <si>
    <t xml:space="preserve">    20701 文化</t>
  </si>
  <si>
    <t xml:space="preserve">      2070108 文化活动</t>
  </si>
  <si>
    <t xml:space="preserve">      2070199 其他文化支出</t>
  </si>
  <si>
    <t xml:space="preserve">    20703 体育</t>
  </si>
  <si>
    <t xml:space="preserve">      2070302 一般行政管理事务</t>
  </si>
  <si>
    <t xml:space="preserve">      2070308 群众体育</t>
  </si>
  <si>
    <t xml:space="preserve">    20802 民政管理事务</t>
  </si>
  <si>
    <t xml:space="preserve">    21001 医疗卫生与计划生育管理事务</t>
  </si>
  <si>
    <t xml:space="preserve">      2100102 一般行政管理事务</t>
  </si>
  <si>
    <t xml:space="preserve">    21007 计划生育事务</t>
  </si>
  <si>
    <t xml:space="preserve">      2100799 其他计划生育事务支出</t>
  </si>
  <si>
    <t xml:space="preserve">    21010 食品和药品监督管理事务</t>
  </si>
  <si>
    <t xml:space="preserve">      2101016 食品安全事务</t>
  </si>
  <si>
    <t xml:space="preserve">    21011 行政事业单位医疗</t>
  </si>
  <si>
    <t xml:space="preserve">      2101101 行政单位医疗</t>
  </si>
  <si>
    <t xml:space="preserve">      2101102 事业单位医疗</t>
  </si>
  <si>
    <t xml:space="preserve">      2101103 公务员医疗补助</t>
  </si>
  <si>
    <t xml:space="preserve">    21103 污染防治</t>
  </si>
  <si>
    <t xml:space="preserve">      2110307 排污费安排的支出</t>
  </si>
  <si>
    <t xml:space="preserve">      2110399 其他污染防治支出</t>
  </si>
  <si>
    <t xml:space="preserve">    21201 城乡社区管理事务</t>
  </si>
  <si>
    <t xml:space="preserve">      2120102 一般行政管理事务</t>
  </si>
  <si>
    <t xml:space="preserve">      2120104 城管执法</t>
  </si>
  <si>
    <t xml:space="preserve">      2120199 其他城乡社区管理事务支出</t>
  </si>
  <si>
    <t xml:space="preserve">    21203 城乡社区公共设施</t>
  </si>
  <si>
    <t xml:space="preserve">      2120303 小城镇基础设施建设</t>
  </si>
  <si>
    <t xml:space="preserve">    21205 城乡社区环境卫生</t>
  </si>
  <si>
    <t xml:space="preserve">    21299 其他城乡社区支出</t>
  </si>
  <si>
    <t xml:space="preserve">      2129999 其他城乡社区支出</t>
  </si>
  <si>
    <t xml:space="preserve">    21506 安全生产监管</t>
  </si>
  <si>
    <t xml:space="preserve">      2150602 一般行政管理事务</t>
  </si>
  <si>
    <t xml:space="preserve">    21508 支持中小企业发展和管理支出</t>
  </si>
  <si>
    <t xml:space="preserve">      2150801 行政运行</t>
  </si>
  <si>
    <t xml:space="preserve">      2150802 一般行政管理事务</t>
  </si>
  <si>
    <t xml:space="preserve">      2150899 其他支持中小企业发展和管理支出</t>
  </si>
  <si>
    <t xml:space="preserve">    22999 其他支出</t>
  </si>
  <si>
    <t xml:space="preserve">      2299901 其他支出</t>
  </si>
  <si>
    <t>四、预备费及周转金</t>
  </si>
  <si>
    <t>备注：包含区对镇补助</t>
  </si>
  <si>
    <t>调整预算</t>
  </si>
  <si>
    <t xml:space="preserve">  四、镇级体制资金</t>
  </si>
  <si>
    <t xml:space="preserve">    20105 统计信息事务</t>
  </si>
  <si>
    <t xml:space="preserve">      2010501 行政运行</t>
  </si>
  <si>
    <t xml:space="preserve">      2080202 一般行政管理事务</t>
  </si>
  <si>
    <t xml:space="preserve">    20807 就业补助</t>
  </si>
  <si>
    <t xml:space="preserve">    20808 抚恤</t>
  </si>
  <si>
    <t xml:space="preserve">    20810 社会福利</t>
  </si>
  <si>
    <t xml:space="preserve">      2081004 殡葬</t>
  </si>
  <si>
    <t xml:space="preserve">    20819 最低生活保障</t>
  </si>
  <si>
    <t xml:space="preserve">    20821 特困人员供养</t>
  </si>
  <si>
    <t xml:space="preserve">      2082102 农村特困人员救助供养支出</t>
  </si>
  <si>
    <t xml:space="preserve">    20826 财政对基本养老保险基金的补助</t>
  </si>
  <si>
    <t xml:space="preserve">    21004 公共卫生</t>
  </si>
  <si>
    <t xml:space="preserve">    21012 财政对基本医疗保险基金的补助</t>
  </si>
  <si>
    <t xml:space="preserve">      2101204 财政对城镇居民基本医疗保险基金的补助</t>
  </si>
  <si>
    <t xml:space="preserve">    21013 医疗救助</t>
  </si>
  <si>
    <t xml:space="preserve">    21014 优抚对象医疗</t>
  </si>
  <si>
    <t xml:space="preserve">    21301 农业</t>
  </si>
  <si>
    <t xml:space="preserve">      2130108 病虫害控制</t>
  </si>
  <si>
    <t xml:space="preserve">      2130122 农业生产支持补贴</t>
  </si>
  <si>
    <t xml:space="preserve">    21303 水利</t>
  </si>
  <si>
    <t xml:space="preserve">      2130399 其他水利支出</t>
  </si>
  <si>
    <t xml:space="preserve">    21307 农村综合改革</t>
  </si>
  <si>
    <t xml:space="preserve">      2130705 对村民委员会和村党支部的补助</t>
  </si>
  <si>
    <t xml:space="preserve">      2130706 对村集体经济组织的补助</t>
  </si>
  <si>
    <t xml:space="preserve">    23002 一般性转移支付</t>
  </si>
  <si>
    <t xml:space="preserve">      2300299 其他一般性转移支付支出</t>
  </si>
  <si>
    <t xml:space="preserve">    23008 调出资金</t>
  </si>
  <si>
    <t xml:space="preserve">      2300801 一般公共预算调出资金</t>
  </si>
  <si>
    <t>三、街园区体制支出小计</t>
  </si>
  <si>
    <t>表五：</t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</si>
  <si>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2111199 其他污染减排支出</t>
    </r>
  </si>
  <si>
    <t xml:space="preserve">      20609 科技重大项目</t>
  </si>
  <si>
    <r>
      <t xml:space="preserve">      2110301 </t>
    </r>
    <r>
      <rPr>
        <sz val="10"/>
        <rFont val="宋体"/>
        <family val="0"/>
      </rPr>
      <t>大气</t>
    </r>
  </si>
  <si>
    <t xml:space="preserve">      2060899 其他科技交流与合作支出</t>
  </si>
  <si>
    <t xml:space="preserve">      2081099 其他社会福利支出</t>
  </si>
  <si>
    <t xml:space="preserve">      2110301 大气</t>
  </si>
  <si>
    <t xml:space="preserve">      2110402 农村环境保护</t>
  </si>
  <si>
    <r>
      <t xml:space="preserve">      2169999 </t>
    </r>
    <r>
      <rPr>
        <sz val="10"/>
        <rFont val="宋体"/>
        <family val="0"/>
      </rPr>
      <t>其他商业服务业等支出</t>
    </r>
  </si>
  <si>
    <r>
      <t xml:space="preserve">      2110301 </t>
    </r>
    <r>
      <rPr>
        <sz val="10"/>
        <rFont val="宋体"/>
        <family val="0"/>
      </rPr>
      <t>大气</t>
    </r>
  </si>
  <si>
    <r>
      <t xml:space="preserve">      2100408 </t>
    </r>
    <r>
      <rPr>
        <sz val="10"/>
        <rFont val="宋体"/>
        <family val="0"/>
      </rPr>
      <t>基本公共卫生服务</t>
    </r>
  </si>
  <si>
    <t>表十一：</t>
  </si>
  <si>
    <t>表十七:</t>
  </si>
  <si>
    <t>表十八：</t>
  </si>
  <si>
    <t>北辰区2017年“三公”经费支出财政拨款情况表</t>
  </si>
  <si>
    <t>北辰区2017年一般公共财政收入决算情况表</t>
  </si>
  <si>
    <t>北辰区2017年一般公共财政支出决算执行情况表</t>
  </si>
  <si>
    <t>北辰区2017年一般公共财政支出决算执行情况表-区本级</t>
  </si>
  <si>
    <t>年初预算</t>
  </si>
  <si>
    <t>调整预算</t>
  </si>
  <si>
    <t>决算安排</t>
  </si>
  <si>
    <t>执行预算</t>
  </si>
  <si>
    <t>完成年初预算%</t>
  </si>
  <si>
    <t>完成调整预算%</t>
  </si>
  <si>
    <t>北辰区2017年基本、项目、街道园区支出决算执行情况表-区本级</t>
  </si>
  <si>
    <t>2017年市对北辰区政府性基金转移支付决算执行情况表</t>
  </si>
  <si>
    <t>2017年市对北辰区税收返还和一般转移支付决算执行情况表</t>
  </si>
  <si>
    <t>二、市对区转移支付（市拨专项）</t>
  </si>
  <si>
    <t>结转下年使用</t>
  </si>
  <si>
    <t>三、市对区转移支付（市拨专项）</t>
  </si>
  <si>
    <t>表六：</t>
  </si>
  <si>
    <t>表七：</t>
  </si>
  <si>
    <t>表八：</t>
  </si>
  <si>
    <t>表九:</t>
  </si>
  <si>
    <t>北辰区2017年一般公共财政镇级财力支出决算执行情况表（项级科目）</t>
  </si>
  <si>
    <t>政府性基金预算支出合计</t>
  </si>
  <si>
    <t>北辰区2017年区对镇转移支付情况表</t>
  </si>
  <si>
    <t>北辰区2017年一般公共财政本级支出决算经济分类明细表</t>
  </si>
  <si>
    <t>2017年企业退休军转干部体检补助经费-2016-155号</t>
  </si>
  <si>
    <t>2015-2016年度对外开放工作先进单位奖励-2017-46号</t>
  </si>
  <si>
    <t>2017年第二批知识产权专项资金-2017-75号</t>
  </si>
  <si>
    <t>退休企业军转干部生活困难补助-2017-133号</t>
  </si>
  <si>
    <t>提前下达转移支付-2016-79号</t>
  </si>
  <si>
    <t>支持普惠性民办幼儿园发展奖补-2017-8号</t>
  </si>
  <si>
    <t>2017年支持普惠性民办幼儿园发展奖补-2017-65号</t>
  </si>
  <si>
    <t>2017年城乡义务教育补助-2017-59号</t>
  </si>
  <si>
    <t>市对区财政教育转移支付-2017-75号</t>
  </si>
  <si>
    <t>民办幼儿园、特色高中、中职学校提升建设-2017-8号</t>
  </si>
  <si>
    <t>南仓中学民族班学生学习生活补助-2017-36号</t>
  </si>
  <si>
    <t>教育专项资金-2017-104号</t>
  </si>
  <si>
    <t>2017年聘任期满到村任职高校毕业生资助-2017-99号</t>
  </si>
  <si>
    <t>进城务工农民工随迁子女接受义务教育资金-2017-74号</t>
  </si>
  <si>
    <t>2017年内地民族中职班学校专项-2017-93号</t>
  </si>
  <si>
    <t>2017年职业院校教师素质提高计划专项经费-2017-106号</t>
  </si>
  <si>
    <t>2017年市对区财政教育专项转移支付-2017-8号</t>
  </si>
  <si>
    <t>教育一般性转移支付资金-2017-101号</t>
  </si>
  <si>
    <t>2017年天津市科技计划结转项目-2017-89号</t>
  </si>
  <si>
    <t>K科研创新项目-2017-8号</t>
  </si>
  <si>
    <t>K科研创新项目-2017-7号</t>
  </si>
  <si>
    <t>2016年第十批科技计划项目补助-2017-8号</t>
  </si>
  <si>
    <t>2017年科技型企业发展专项结转项目补助-2017-23号</t>
  </si>
  <si>
    <t>2016年科技领军企业品牌培育补贴-2017-47号</t>
  </si>
  <si>
    <t>2016年科技领军企业产学研用创新联盟补贴-2017-48号</t>
  </si>
  <si>
    <t>2016年第二批科技领军企业重大创新项目市级补助-2017-53号</t>
  </si>
  <si>
    <t>2017年第二批知识产权专项资金-2017-76号</t>
  </si>
  <si>
    <t>2016年度首次获批国家高新技术企业奖励资金-2017-78号</t>
  </si>
  <si>
    <t>2017年第一批科技创新券兑现补贴资金-2017-92号</t>
  </si>
  <si>
    <t>2016年度第一批科技型企业股份制改造补贴资金-2017-93号</t>
  </si>
  <si>
    <t>2017年第三批知识产权专项资金-2017-109号</t>
  </si>
  <si>
    <t>2017科技创新企业产学研补贴</t>
  </si>
  <si>
    <t>2017年领军企业产学研用创新联盟科技重大项目补助-2017-181号</t>
  </si>
  <si>
    <t>2017年生物医药创新园等项目-2017-203号</t>
  </si>
  <si>
    <t>2017年第二批科技领军企业品牌培育补贴-2017-210号</t>
  </si>
  <si>
    <t>2017年第二批科技创新券兑现补贴-2017-205号</t>
  </si>
  <si>
    <t>2017年企业重点实验室项目-2017-175号</t>
  </si>
  <si>
    <t>2017年一带一路国际科技合作示范项目-2017-209号</t>
  </si>
  <si>
    <t>2017年杀手锏产品研发项目-2017-174号</t>
  </si>
  <si>
    <t>2017年科技型企业股份制造改造补贴-2017-204号</t>
  </si>
  <si>
    <t>2017年天津市重点新产品补贴-2017-178号</t>
  </si>
  <si>
    <t>2017年创新创业大赛获奖企业打包贷款补贴-2017-207号</t>
  </si>
  <si>
    <t>2017年度软件产业发展专项（第一批）-2017-30号</t>
  </si>
  <si>
    <t>2016年下半年支持企业通过融资租赁加快装备改造升级-2017-50号</t>
  </si>
  <si>
    <t>面向云计算、大数据、互联网+等领域的软件研发-2017-127号</t>
  </si>
  <si>
    <t>支持企业通过融资租赁加快装备改造升级-2017-228</t>
  </si>
  <si>
    <t>2017年支持京津冀科技成果转化项目-2017-177号</t>
  </si>
  <si>
    <t>2017年高新技术产业化专项-2017-148号</t>
  </si>
  <si>
    <t>循环经济发展专项资金-2017-150号</t>
  </si>
  <si>
    <t>第五批“新型企业家培养工程”资助经费-2017-37号</t>
  </si>
  <si>
    <t>核减1名第四批天津市"新型企业家培养工程"人选资助经费-2017-19号</t>
  </si>
  <si>
    <t>2017年第一批信息化专项-2017-88号</t>
  </si>
  <si>
    <t>2017年第二批文体传媒一般性-2017-3号</t>
  </si>
  <si>
    <t>2017年基层公共文化服务体系建设资金-2016-79号</t>
  </si>
  <si>
    <t>地方公共文化服务体系建设中央绩效奖励-2017-5号</t>
  </si>
  <si>
    <t>中央补助地方公共文化服务体系建设绩效奖励资金-2017-48</t>
  </si>
  <si>
    <t>2016年度全民参保计划考核奖补-2017-16号</t>
  </si>
  <si>
    <t>提前下达社保第三批-2016-155号</t>
  </si>
  <si>
    <t>2017年提前告知-2016-126号</t>
  </si>
  <si>
    <t>2017年社保提前告知-2016-144号</t>
  </si>
  <si>
    <t>2017年旧楼区提升改造长效管理市级补助-2017-42号</t>
  </si>
  <si>
    <t>旧楼区长效管理市级补助-2017-108</t>
  </si>
  <si>
    <t>军休干部及无军籍职工补贴-2017-4号</t>
  </si>
  <si>
    <t>军队无军籍职工2015年度津贴补贴差额-2017-14号</t>
  </si>
  <si>
    <t>2017年市财政就业补助-2017-29号</t>
  </si>
  <si>
    <t>2017年大学生就业创业服务补贴-2017-58号</t>
  </si>
  <si>
    <t>就业补助资金和创业担保贷款贴息-2017-141</t>
  </si>
  <si>
    <t>2017年优抚对象补助经费-2017-54号</t>
  </si>
  <si>
    <t>优抚对象等人员抚恤和生活补助-2017-111</t>
  </si>
  <si>
    <t>提前告知转移支付-2016-126号</t>
  </si>
  <si>
    <t>退役士兵自主就业（自谋职业）一次性经济补助-2017-113号</t>
  </si>
  <si>
    <t>军队移交政府安置的离退休人员经费-2016-126号</t>
  </si>
  <si>
    <t>2017年退役安置补助-2017-102号</t>
  </si>
  <si>
    <t>2017年退役安置补助资金-2017-93号</t>
  </si>
  <si>
    <t>退回中央财政农村地区先进民用炉具推广结余资金-2016-80号</t>
  </si>
  <si>
    <t>2017年视力、听力、言语残疾人通讯信息消费补贴-2017-32号</t>
  </si>
  <si>
    <t>2017年困难残疾人生活补贴资金-2017-55号</t>
  </si>
  <si>
    <t>困难残疾人和重度残疾人补贴-2017-109号</t>
  </si>
  <si>
    <t>残疾人托养服务补贴-2017-129号</t>
  </si>
  <si>
    <t>2017年中央财政困难群众救助补助-2017-70号</t>
  </si>
  <si>
    <t>2017年城乡居民基本养老保险中央和市级财政补助-2017-71号</t>
  </si>
  <si>
    <t>退休企业军转干部生活困难补助-2016-126号</t>
  </si>
  <si>
    <t>北辰医院、中医医院住院医生规范化培训经费-2016-155号</t>
  </si>
  <si>
    <t>2017年中央财政医疗服务能力提升补助-2017-66号</t>
  </si>
  <si>
    <t>2017年中央财政卫生服务和医疗服务能力提升补助-2017-85号</t>
  </si>
  <si>
    <t>2017年基层医疗卫生机构绩效工资补助-2016-126号</t>
  </si>
  <si>
    <t>2017年基本公共卫生服务和基本药物补助资金-2017-75号</t>
  </si>
  <si>
    <t>2016年基本公共卫生服务考核奖励-2017-27号</t>
  </si>
  <si>
    <t>2018年基本公共卫生服务补助-2017-87号</t>
  </si>
  <si>
    <t>退回基本公共卫生服务补助资金-2017-135号</t>
  </si>
  <si>
    <t>2017年中医药服务能力提升项目-2017-24号</t>
  </si>
  <si>
    <t>2017年全国基层名老中医药专家传承工作室建设-2017-77号</t>
  </si>
  <si>
    <t>2016年度计划生育工作责任目标考核达标奖励-2017-18号</t>
  </si>
  <si>
    <t>2017年计划生育奖励扶助和特别扶助补助资金-2017-46号</t>
  </si>
  <si>
    <t>军休干部医疗费-2016-126号</t>
  </si>
  <si>
    <t>归集2017年城乡居民基本医疗保险补助-2016-126号</t>
  </si>
  <si>
    <t>2017年城乡居民基本医疗保险补助-2017-80号</t>
  </si>
  <si>
    <t>城乡居民基本医疗保险补贴-2017-125号</t>
  </si>
  <si>
    <t>2017年城乡医疗救助资金-2016-126号</t>
  </si>
  <si>
    <t>其他优抚对象医疗补助及一至六级残疾军人医疗补助-2016-126号</t>
  </si>
  <si>
    <t>2017年第六批大气污染防治专项-2017-62号</t>
  </si>
  <si>
    <t>2017年第七批大气污染防治专项-2017-63号</t>
  </si>
  <si>
    <t>2017年大气污染防治专项（环卫车辆购置）-2017-81号</t>
  </si>
  <si>
    <t>2017年第十五批大气污染防治专项（锅炉改燃项目）-2017-85号</t>
  </si>
  <si>
    <t>2017年第十三批大气污染防治专项（堆场封闭项目）-2017-73号</t>
  </si>
  <si>
    <t>2017年第十二批大气污染防治专项（工业企业堆场扬尘在线监测项目）-2017-72号</t>
  </si>
  <si>
    <t>2017年第十一批大气污染防治专项（餐饮油烟治理项目）-2017-71号</t>
  </si>
  <si>
    <t>2017年第十六批大气污染防治专项（餐饮油烟治理项目）-2017-91号</t>
  </si>
  <si>
    <t>2017年天津市第三批环境保护专项-2017-112号</t>
  </si>
  <si>
    <t>2017年大气专职网格监督员补助-2017-108号</t>
  </si>
  <si>
    <t>2017年农村生活用无烟型煤-2017-132号</t>
  </si>
  <si>
    <t>收回淘汰黄标车工作经费市级资金-2017-25号</t>
  </si>
  <si>
    <t>收回大气污染防治项目（机动车排气遥感监测）结余结转-2017-83号</t>
  </si>
  <si>
    <t>清算采暖期农村无烟型煤中央补贴资金-2017-129号</t>
  </si>
  <si>
    <t>清算采暖期农村无烟型煤中央补贴资金-2015-26号</t>
  </si>
  <si>
    <t>清算采暖期农村无烟型煤中央补贴资金-2015-145号</t>
  </si>
  <si>
    <t>清算采暖期农村无烟型煤中央补贴资金-2016-87号</t>
  </si>
  <si>
    <t>清算采暖期农村无烟型煤市级补贴资金-2017-162号</t>
  </si>
  <si>
    <t>退回淘汰黄标车工作经费-2016-185号</t>
  </si>
  <si>
    <t>地表水自动检测站建设-2017-141号</t>
  </si>
  <si>
    <t>退回中央农村环境保护专项资金-2017-27号</t>
  </si>
  <si>
    <t>2017年北方地区冬季清洁取暖试点城市中央财政奖补资金-2017-144号</t>
  </si>
  <si>
    <t>补助高效用电类-2017-128号</t>
  </si>
  <si>
    <t>中央财政2017年第二次全国地名普查补助-2017-14号</t>
  </si>
  <si>
    <t>提前下达2017年城市管理以奖代补资金-2016-185号</t>
  </si>
  <si>
    <t>城市管理以奖代补-2017-23号</t>
  </si>
  <si>
    <t>北辰区外环线东北部调线与津蓟速路立交工程资金-2017-150号</t>
  </si>
  <si>
    <t>供热旧管网改造-2017-146号</t>
  </si>
  <si>
    <t>城市居民清洁取暖集中供热补建-2017-151</t>
  </si>
  <si>
    <t>2017年城市居民清洁取暖集中供热补建-2017-211号</t>
  </si>
  <si>
    <t>2017-2018年采暖期居民冬季清洁取暖运行补贴-21017-226号</t>
  </si>
  <si>
    <t>2018年市容委以奖代补考核资金-2017-133号</t>
  </si>
  <si>
    <t>2017年市容委以奖代补考核资金-2017-137号</t>
  </si>
  <si>
    <t>清洗车与洗扫车购置款-2017-63号</t>
  </si>
  <si>
    <t>2015年选聘村官第二年工作生活补贴-2016-150号</t>
  </si>
  <si>
    <t>2017年中央和市级财政农业综合开发资金-2016-13号</t>
  </si>
  <si>
    <t>2017年农业综合开发第二批资金-2017-3号</t>
  </si>
  <si>
    <t>2017年创业担保贷款提前告知-2016-156号</t>
  </si>
  <si>
    <t>提前下达2017年普惠金融发展专项-2016-9号</t>
  </si>
  <si>
    <t>2017年创业担保贷款贴息资金-2017-73号</t>
  </si>
  <si>
    <t>区县及乡村公路养护-2017-11号</t>
  </si>
  <si>
    <t>2017年无人看守铁路道口资金-2017-8号</t>
  </si>
  <si>
    <t>2017年度工业科技开发专项-2017-21号</t>
  </si>
  <si>
    <t>支持企业通过融资租赁加快装备改造升级，工业大数据，智能制造-2017-159号</t>
  </si>
  <si>
    <t>2017年第四批安全生产专项-2017-94号</t>
  </si>
  <si>
    <t>2017安全生产预防及应急专项-2017-194号</t>
  </si>
  <si>
    <t>市级中小企业公共服务示范平台建设项目-2017-113号</t>
  </si>
  <si>
    <t>工业转型升级（中国制造2025）2016年绿色制造系统集成-2017-7号</t>
  </si>
  <si>
    <t>2017年工业转型升级（中国制造2025）财建17-373号）-2017-117号</t>
  </si>
  <si>
    <t>2017年扩大市场销售项目专项-2017-41号</t>
  </si>
  <si>
    <t>2017年环境整洁菜市场项目补助-2017-40号</t>
  </si>
  <si>
    <t>2017年农村示范集贸市场建设项目补助-2017-36号</t>
  </si>
  <si>
    <t>2017年电子商务等项目补助资金-2017-52号</t>
  </si>
  <si>
    <t>预拨中央财政供应链利息建设项目补助-2017-70号</t>
  </si>
  <si>
    <t>旅游业重点支持项目-2017-61号</t>
  </si>
  <si>
    <t>2016年天津市市级境外产业园区补助-2017-16号</t>
  </si>
  <si>
    <t>2017年度重点服务外贸企业发展项目补助-2017-30号</t>
  </si>
  <si>
    <t>调减2017年度重点服务外贸企业发展项目（市商务委直拨企业）-2017-30号</t>
  </si>
  <si>
    <t>鼓励各区扩大外贸规模专项-2017-12号</t>
  </si>
  <si>
    <t>2015-2016年度对外开放工作先进单位奖励-2017-47号</t>
  </si>
  <si>
    <t>促进服务贸易发展-2017-49号</t>
  </si>
  <si>
    <t>退回涉农区县外贸发展资金-2014-583号</t>
  </si>
  <si>
    <t>退回2013年服务业项目专项资金-2013-17号</t>
  </si>
  <si>
    <t>退回2014年鼓励区县引进外贸主体奖励资金-2014-1202号</t>
  </si>
  <si>
    <t>天津九州通达医药公司智慧煎药供应链公共服务平台建设补助-2017-9号</t>
  </si>
  <si>
    <t>返还2016年新增建设用地土地有偿使用费-2017-24号</t>
  </si>
  <si>
    <t>就业补助资金和创业担保贷款贴息-2017-141号</t>
  </si>
  <si>
    <t>2017年天津市中小企业发展专项资金-2017-111号</t>
  </si>
  <si>
    <t>中小企业天津网维护、项目评审等支持发展项目及“圆梦津城”项目-2017-200号</t>
  </si>
  <si>
    <t>预算科目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</si>
</sst>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);[Red]\(#,##0.0\)"/>
    <numFmt numFmtId="186" formatCode="#,##0.00_ "/>
    <numFmt numFmtId="187" formatCode="0.00_);[Red]\(0.00\)"/>
    <numFmt numFmtId="188" formatCode="0.0000_ "/>
    <numFmt numFmtId="189" formatCode="0.000_ "/>
    <numFmt numFmtId="190" formatCode="#,##0.0"/>
    <numFmt numFmtId="191" formatCode="#,##0.000"/>
    <numFmt numFmtId="192" formatCode="0.00_ "/>
    <numFmt numFmtId="193" formatCode="0_ "/>
    <numFmt numFmtId="194" formatCode="#,##0.0_ "/>
    <numFmt numFmtId="195" formatCode="#,##0.000_ "/>
    <numFmt numFmtId="196" formatCode="0.0_ "/>
    <numFmt numFmtId="197" formatCode="#,##0.0000_ "/>
    <numFmt numFmtId="198" formatCode="#,##0_);[Red]\(#,##0\)"/>
    <numFmt numFmtId="199" formatCode="#,##0.00_);[Red]\(#,##0.00\)"/>
    <numFmt numFmtId="200" formatCode="0.0000000_ "/>
    <numFmt numFmtId="201" formatCode="0.000000_ "/>
    <numFmt numFmtId="202" formatCode="0.00000_ "/>
    <numFmt numFmtId="203" formatCode="_ * #,##0_ ;_ * \-#,##0_ ;_ * &quot;-&quot;??_ ;_ @_ "/>
    <numFmt numFmtId="204" formatCode="0.0%"/>
    <numFmt numFmtId="205" formatCode="#,##0;\-#,##0;&quot;-&quot;"/>
    <numFmt numFmtId="206" formatCode="#,##0;\(#,##0\)"/>
    <numFmt numFmtId="207" formatCode="_-&quot;$&quot;* #,##0_-;\-&quot;$&quot;* #,##0_-;_-&quot;$&quot;* &quot;-&quot;_-;_-@_-"/>
    <numFmt numFmtId="208" formatCode="_(&quot;$&quot;* #,##0.00_);_(&quot;$&quot;* \(#,##0.00\);_(&quot;$&quot;* &quot;-&quot;??_);_(@_)"/>
    <numFmt numFmtId="209" formatCode="\$#,##0.00;\(\$#,##0.00\)"/>
    <numFmt numFmtId="210" formatCode="\$#,##0;\(\$#,##0\)"/>
    <numFmt numFmtId="211" formatCode="yyyy&quot;年&quot;m&quot;月&quot;d&quot;日&quot;;@"/>
    <numFmt numFmtId="212" formatCode="_-* #,##0_$_-;\-* #,##0_$_-;_-* &quot;-&quot;_$_-;_-@_-"/>
    <numFmt numFmtId="213" formatCode="_-* #,##0.00_$_-;\-* #,##0.00_$_-;_-* &quot;-&quot;??_$_-;_-@_-"/>
    <numFmt numFmtId="214" formatCode="_-* #,##0&quot;$&quot;_-;\-* #,##0&quot;$&quot;_-;_-* &quot;-&quot;&quot;$&quot;_-;_-@_-"/>
    <numFmt numFmtId="215" formatCode="_-* #,##0.00&quot;$&quot;_-;\-* #,##0.00&quot;$&quot;_-;_-* &quot;-&quot;??&quot;$&quot;_-;_-@_-"/>
    <numFmt numFmtId="216" formatCode="0;_琀"/>
    <numFmt numFmtId="217" formatCode="0.0"/>
    <numFmt numFmtId="218" formatCode="_ * #,##0.0_ ;_ * \-#,##0.0_ ;_ * &quot;-&quot;??_ ;_ @_ "/>
    <numFmt numFmtId="219" formatCode="0_);[Red]\(0\)"/>
    <numFmt numFmtId="220" formatCode="0.0_);[Red]\(0.0\)"/>
    <numFmt numFmtId="221" formatCode=";;"/>
    <numFmt numFmtId="222" formatCode="#,##0.0000"/>
    <numFmt numFmtId="223" formatCode="#,##0_);\(#,##0\)"/>
    <numFmt numFmtId="224" formatCode="#,##0.000000_ "/>
    <numFmt numFmtId="225" formatCode="&quot;¥&quot;* _-#,##0;&quot;¥&quot;* \-#,##0;&quot;¥&quot;* _-&quot;-&quot;;@"/>
    <numFmt numFmtId="226" formatCode="* #,##0;* \-#,##0;* &quot;-&quot;;@"/>
    <numFmt numFmtId="227" formatCode="&quot;¥&quot;* _-#,##0.00;&quot;¥&quot;* \-#,##0.00;&quot;¥&quot;* _-&quot;-&quot;??;@"/>
    <numFmt numFmtId="228" formatCode="* #,##0.00;* \-#,##0.00;* &quot;-&quot;??;@"/>
    <numFmt numFmtId="229" formatCode="_(\$* #,##0_);_(\$* \(#,##0\);_(\$* &quot;-&quot;_);_(@_)"/>
    <numFmt numFmtId="230" formatCode="_(* #,##0.00_);_(* \(#,##0.00\);_(* &quot;-&quot;??_);_(@_)"/>
    <numFmt numFmtId="231" formatCode="_(\$* #,##0.00_);_(\$* \(#,##0.00\);_(\$* &quot;-&quot;??_);_(@_)"/>
    <numFmt numFmtId="232" formatCode="_ * #,##0.00_ ;_ * \-#,##0.00_ ;_ * &quot;-&quot;_ ;_ @_ 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108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Helv"/>
      <family val="2"/>
    </font>
    <font>
      <sz val="12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name val="Helv"/>
      <family val="2"/>
    </font>
    <font>
      <sz val="12"/>
      <name val="Helv"/>
      <family val="2"/>
    </font>
    <font>
      <b/>
      <sz val="12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宋体"/>
      <family val="0"/>
    </font>
    <font>
      <sz val="12"/>
      <name val="黑体"/>
      <family val="3"/>
    </font>
    <font>
      <sz val="13"/>
      <name val="宋体"/>
      <family val="0"/>
    </font>
    <font>
      <b/>
      <sz val="32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0"/>
      <name val="Helv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黑体"/>
      <family val="3"/>
    </font>
    <font>
      <b/>
      <sz val="16"/>
      <color indexed="8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2"/>
      <color indexed="8"/>
      <name val="Helv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Helv"/>
      <family val="2"/>
    </font>
    <font>
      <sz val="12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7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0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28" fillId="28" borderId="0" applyNumberFormat="0" applyBorder="0" applyAlignment="0" applyProtection="0"/>
    <xf numFmtId="0" fontId="28" fillId="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86" fillId="3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8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30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4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50" borderId="0" applyNumberFormat="0" applyBorder="0" applyAlignment="0" applyProtection="0"/>
    <xf numFmtId="0" fontId="19" fillId="39" borderId="0" applyNumberFormat="0" applyBorder="0" applyAlignment="0" applyProtection="0"/>
    <xf numFmtId="0" fontId="19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1" fillId="8" borderId="0" applyNumberFormat="0" applyBorder="0" applyAlignment="0" applyProtection="0"/>
    <xf numFmtId="205" fontId="18" fillId="0" borderId="0" applyFill="0" applyBorder="0" applyAlignment="0">
      <protection/>
    </xf>
    <xf numFmtId="0" fontId="32" fillId="2" borderId="1" applyNumberFormat="0" applyAlignment="0" applyProtection="0"/>
    <xf numFmtId="0" fontId="33" fillId="54" borderId="2" applyNumberFormat="0" applyAlignment="0" applyProtection="0"/>
    <xf numFmtId="0" fontId="34" fillId="0" borderId="0" applyProtection="0">
      <alignment vertical="center"/>
    </xf>
    <xf numFmtId="41" fontId="27" fillId="0" borderId="0" applyFont="0" applyFill="0" applyBorder="0" applyAlignment="0" applyProtection="0"/>
    <xf numFmtId="206" fontId="35" fillId="0" borderId="0">
      <alignment/>
      <protection/>
    </xf>
    <xf numFmtId="43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35" fillId="0" borderId="0">
      <alignment/>
      <protection/>
    </xf>
    <xf numFmtId="0" fontId="36" fillId="0" borderId="0" applyProtection="0">
      <alignment/>
    </xf>
    <xf numFmtId="210" fontId="35" fillId="0" borderId="0">
      <alignment/>
      <protection/>
    </xf>
    <xf numFmtId="0" fontId="37" fillId="0" borderId="0" applyNumberFormat="0" applyFill="0" applyBorder="0" applyAlignment="0" applyProtection="0"/>
    <xf numFmtId="2" fontId="36" fillId="0" borderId="0" applyProtection="0">
      <alignment/>
    </xf>
    <xf numFmtId="0" fontId="38" fillId="10" borderId="0" applyNumberFormat="0" applyBorder="0" applyAlignment="0" applyProtection="0"/>
    <xf numFmtId="38" fontId="39" fillId="16" borderId="0" applyNumberFormat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Protection="0">
      <alignment/>
    </xf>
    <xf numFmtId="0" fontId="40" fillId="0" borderId="0" applyProtection="0">
      <alignment/>
    </xf>
    <xf numFmtId="0" fontId="45" fillId="3" borderId="1" applyNumberFormat="0" applyAlignment="0" applyProtection="0"/>
    <xf numFmtId="10" fontId="39" fillId="2" borderId="8" applyNumberFormat="0" applyBorder="0" applyAlignment="0" applyProtection="0"/>
    <xf numFmtId="0" fontId="45" fillId="3" borderId="1" applyNumberFormat="0" applyAlignment="0" applyProtection="0"/>
    <xf numFmtId="0" fontId="46" fillId="0" borderId="9" applyNumberFormat="0" applyFill="0" applyAlignment="0" applyProtection="0"/>
    <xf numFmtId="0" fontId="47" fillId="18" borderId="0" applyNumberFormat="0" applyBorder="0" applyAlignment="0" applyProtection="0"/>
    <xf numFmtId="37" fontId="48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26" fillId="4" borderId="10" applyNumberFormat="0" applyFont="0" applyAlignment="0" applyProtection="0"/>
    <xf numFmtId="0" fontId="51" fillId="2" borderId="11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12" applyProtection="0">
      <alignment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87" fillId="0" borderId="14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88" fillId="0" borderId="15" applyNumberFormat="0" applyFill="0" applyAlignment="0" applyProtection="0"/>
    <xf numFmtId="0" fontId="57" fillId="0" borderId="16" applyNumberFormat="0" applyFill="0" applyAlignment="0" applyProtection="0"/>
    <xf numFmtId="0" fontId="57" fillId="0" borderId="16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8" fillId="0" borderId="0">
      <alignment horizontal="centerContinuous" vertical="center"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" fillId="0" borderId="8">
      <alignment horizontal="distributed" vertical="center" wrapText="1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2" borderId="0" applyNumberFormat="0" applyBorder="0" applyAlignment="0" applyProtection="0"/>
    <xf numFmtId="0" fontId="61" fillId="5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9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9" fillId="12" borderId="0" applyNumberFormat="0" applyBorder="0" applyAlignment="0" applyProtection="0"/>
    <xf numFmtId="0" fontId="61" fillId="4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0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1" fillId="4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Protection="0">
      <alignment vertical="center"/>
    </xf>
    <xf numFmtId="0" fontId="62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9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1" fillId="4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61" fillId="48" borderId="0" applyNumberFormat="0" applyBorder="0" applyAlignment="0" applyProtection="0"/>
    <xf numFmtId="0" fontId="60" fillId="8" borderId="0" applyNumberFormat="0" applyBorder="0" applyAlignment="0" applyProtection="0"/>
    <xf numFmtId="0" fontId="59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60" fillId="12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9" fillId="8" borderId="0" applyNumberFormat="0" applyBorder="0" applyAlignment="0" applyProtection="0"/>
    <xf numFmtId="0" fontId="61" fillId="4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9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6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66" fillId="5" borderId="0" applyNumberFormat="0" applyBorder="0" applyAlignment="0" applyProtection="0"/>
    <xf numFmtId="0" fontId="6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7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6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7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7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5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Protection="0">
      <alignment vertical="center"/>
    </xf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66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57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66" fillId="57" borderId="0" applyNumberFormat="0" applyBorder="0" applyAlignment="0" applyProtection="0"/>
    <xf numFmtId="0" fontId="67" fillId="10" borderId="0" applyNumberFormat="0" applyBorder="0" applyAlignment="0" applyProtection="0"/>
    <xf numFmtId="0" fontId="66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67" fillId="5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7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6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44" fontId="0" fillId="0" borderId="0" applyFont="0" applyFill="0" applyBorder="0" applyAlignment="0" applyProtection="0"/>
    <xf numFmtId="211" fontId="7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94" fillId="58" borderId="20" applyNumberFormat="0" applyAlignment="0" applyProtection="0"/>
    <xf numFmtId="0" fontId="94" fillId="58" borderId="20" applyNumberFormat="0" applyAlignment="0" applyProtection="0"/>
    <xf numFmtId="0" fontId="94" fillId="58" borderId="20" applyNumberFormat="0" applyAlignment="0" applyProtection="0"/>
    <xf numFmtId="0" fontId="72" fillId="54" borderId="2" applyNumberFormat="0" applyAlignment="0" applyProtection="0"/>
    <xf numFmtId="0" fontId="72" fillId="54" borderId="2" applyNumberFormat="0" applyAlignment="0" applyProtection="0"/>
    <xf numFmtId="0" fontId="95" fillId="59" borderId="21" applyNumberFormat="0" applyAlignment="0" applyProtection="0"/>
    <xf numFmtId="0" fontId="95" fillId="59" borderId="21" applyNumberFormat="0" applyAlignment="0" applyProtection="0"/>
    <xf numFmtId="0" fontId="95" fillId="59" borderId="2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212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214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6" fontId="7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>
      <alignment/>
      <protection/>
    </xf>
    <xf numFmtId="0" fontId="75" fillId="60" borderId="0" applyNumberFormat="0" applyBorder="0" applyAlignment="0" applyProtection="0"/>
    <xf numFmtId="0" fontId="75" fillId="61" borderId="0" applyNumberFormat="0" applyBorder="0" applyAlignment="0" applyProtection="0"/>
    <xf numFmtId="0" fontId="75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86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86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86" fillId="68" borderId="0" applyNumberFormat="0" applyBorder="0" applyAlignment="0" applyProtection="0"/>
    <xf numFmtId="0" fontId="86" fillId="68" borderId="0" applyNumberFormat="0" applyBorder="0" applyAlignment="0" applyProtection="0"/>
    <xf numFmtId="0" fontId="86" fillId="68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86" fillId="6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86" fillId="70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99" fillId="73" borderId="0" applyNumberFormat="0" applyBorder="0" applyAlignment="0" applyProtection="0"/>
    <xf numFmtId="0" fontId="99" fillId="73" borderId="0" applyNumberFormat="0" applyBorder="0" applyAlignment="0" applyProtection="0"/>
    <xf numFmtId="0" fontId="99" fillId="73" borderId="0" applyNumberFormat="0" applyBorder="0" applyAlignment="0" applyProtection="0"/>
    <xf numFmtId="0" fontId="51" fillId="16" borderId="11" applyNumberFormat="0" applyAlignment="0" applyProtection="0"/>
    <xf numFmtId="0" fontId="51" fillId="16" borderId="11" applyNumberFormat="0" applyAlignment="0" applyProtection="0"/>
    <xf numFmtId="0" fontId="100" fillId="58" borderId="23" applyNumberFormat="0" applyAlignment="0" applyProtection="0"/>
    <xf numFmtId="0" fontId="100" fillId="58" borderId="23" applyNumberFormat="0" applyAlignment="0" applyProtection="0"/>
    <xf numFmtId="0" fontId="100" fillId="58" borderId="23" applyNumberFormat="0" applyAlignment="0" applyProtection="0"/>
    <xf numFmtId="0" fontId="45" fillId="3" borderId="1" applyNumberFormat="0" applyAlignment="0" applyProtection="0"/>
    <xf numFmtId="0" fontId="45" fillId="3" borderId="1" applyNumberFormat="0" applyAlignment="0" applyProtection="0"/>
    <xf numFmtId="0" fontId="101" fillId="74" borderId="20" applyNumberFormat="0" applyAlignment="0" applyProtection="0"/>
    <xf numFmtId="0" fontId="101" fillId="74" borderId="20" applyNumberFormat="0" applyAlignment="0" applyProtection="0"/>
    <xf numFmtId="0" fontId="101" fillId="74" borderId="20" applyNumberFormat="0" applyAlignment="0" applyProtection="0"/>
    <xf numFmtId="1" fontId="8" fillId="0" borderId="8">
      <alignment vertical="center"/>
      <protection locked="0"/>
    </xf>
    <xf numFmtId="0" fontId="76" fillId="0" borderId="0">
      <alignment/>
      <protection/>
    </xf>
    <xf numFmtId="217" fontId="8" fillId="0" borderId="8">
      <alignment vertical="center"/>
      <protection locked="0"/>
    </xf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26" fillId="4" borderId="10" applyNumberFormat="0" applyFont="0" applyAlignment="0" applyProtection="0"/>
    <xf numFmtId="0" fontId="0" fillId="4" borderId="10" applyNumberFormat="0" applyFont="0" applyAlignment="0" applyProtection="0"/>
    <xf numFmtId="0" fontId="85" fillId="75" borderId="24" applyNumberFormat="0" applyFont="0" applyAlignment="0" applyProtection="0"/>
    <xf numFmtId="0" fontId="85" fillId="75" borderId="24" applyNumberFormat="0" applyFont="0" applyAlignment="0" applyProtection="0"/>
    <xf numFmtId="0" fontId="85" fillId="75" borderId="24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>
      <alignment/>
      <protection/>
    </xf>
  </cellStyleXfs>
  <cellXfs count="40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0" xfId="540" applyFont="1" applyFill="1">
      <alignment/>
      <protection/>
    </xf>
    <xf numFmtId="186" fontId="4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0" xfId="540" applyFont="1" applyFill="1">
      <alignment/>
      <protection/>
    </xf>
    <xf numFmtId="0" fontId="5" fillId="2" borderId="0" xfId="540" applyFont="1" applyFill="1" applyAlignment="1">
      <alignment horizontal="center"/>
      <protection/>
    </xf>
    <xf numFmtId="0" fontId="6" fillId="2" borderId="0" xfId="540" applyFont="1" applyFill="1" applyAlignment="1">
      <alignment horizontal="right"/>
      <protection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8" xfId="0" applyFont="1" applyBorder="1" applyAlignment="1">
      <alignment/>
    </xf>
    <xf numFmtId="184" fontId="0" fillId="0" borderId="8" xfId="0" applyNumberFormat="1" applyFont="1" applyFill="1" applyBorder="1" applyAlignment="1" applyProtection="1">
      <alignment/>
      <protection/>
    </xf>
    <xf numFmtId="19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4" fontId="14" fillId="0" borderId="0" xfId="0" applyNumberFormat="1" applyFont="1" applyFill="1" applyAlignment="1">
      <alignment/>
    </xf>
    <xf numFmtId="193" fontId="14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98" fontId="15" fillId="0" borderId="0" xfId="0" applyNumberFormat="1" applyFont="1" applyFill="1" applyAlignment="1">
      <alignment/>
    </xf>
    <xf numFmtId="193" fontId="15" fillId="0" borderId="0" xfId="0" applyNumberFormat="1" applyFont="1" applyFill="1" applyAlignment="1">
      <alignment/>
    </xf>
    <xf numFmtId="0" fontId="2" fillId="2" borderId="0" xfId="543" applyFont="1" applyFill="1">
      <alignment/>
      <protection/>
    </xf>
    <xf numFmtId="0" fontId="3" fillId="2" borderId="0" xfId="543" applyFont="1" applyFill="1">
      <alignment/>
      <protection/>
    </xf>
    <xf numFmtId="0" fontId="7" fillId="2" borderId="0" xfId="543" applyFont="1" applyFill="1">
      <alignment/>
      <protection/>
    </xf>
    <xf numFmtId="0" fontId="6" fillId="2" borderId="0" xfId="543" applyFont="1" applyFill="1" applyAlignment="1">
      <alignment horizontal="right" vertical="center"/>
      <protection/>
    </xf>
    <xf numFmtId="184" fontId="3" fillId="2" borderId="0" xfId="543" applyNumberFormat="1" applyFont="1" applyFill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634" applyFont="1">
      <alignment/>
      <protection/>
    </xf>
    <xf numFmtId="0" fontId="20" fillId="0" borderId="0" xfId="634" applyFont="1">
      <alignment/>
      <protection/>
    </xf>
    <xf numFmtId="0" fontId="21" fillId="0" borderId="0" xfId="634" applyFont="1" applyAlignment="1">
      <alignment horizontal="right"/>
      <protection/>
    </xf>
    <xf numFmtId="0" fontId="21" fillId="0" borderId="0" xfId="634" applyFont="1" applyBorder="1" applyAlignment="1">
      <alignment horizontal="right" vertical="center" wrapText="1"/>
      <protection/>
    </xf>
    <xf numFmtId="0" fontId="3" fillId="76" borderId="8" xfId="0" applyFont="1" applyFill="1" applyBorder="1" applyAlignment="1">
      <alignment/>
    </xf>
    <xf numFmtId="0" fontId="3" fillId="0" borderId="8" xfId="0" applyFont="1" applyBorder="1" applyAlignment="1">
      <alignment horizontal="left" indent="1"/>
    </xf>
    <xf numFmtId="0" fontId="3" fillId="0" borderId="8" xfId="0" applyFont="1" applyFill="1" applyBorder="1" applyAlignment="1">
      <alignment horizontal="left"/>
    </xf>
    <xf numFmtId="192" fontId="3" fillId="0" borderId="8" xfId="0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192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0" xfId="631" applyFont="1" applyFill="1">
      <alignment vertical="center"/>
      <protection/>
    </xf>
    <xf numFmtId="0" fontId="2" fillId="0" borderId="0" xfId="586" applyFont="1" applyFill="1">
      <alignment/>
      <protection/>
    </xf>
    <xf numFmtId="204" fontId="23" fillId="0" borderId="0" xfId="196" applyNumberFormat="1" applyFont="1" applyFill="1" applyAlignment="1">
      <alignment vertical="center"/>
    </xf>
    <xf numFmtId="0" fontId="0" fillId="0" borderId="0" xfId="631" applyFont="1" applyFill="1">
      <alignment vertical="center"/>
      <protection/>
    </xf>
    <xf numFmtId="0" fontId="0" fillId="0" borderId="0" xfId="631" applyFont="1" applyFill="1">
      <alignment vertical="center"/>
      <protection/>
    </xf>
    <xf numFmtId="0" fontId="22" fillId="0" borderId="8" xfId="633" applyFont="1" applyFill="1" applyBorder="1" applyAlignment="1">
      <alignment horizontal="center" vertical="center" wrapText="1"/>
      <protection/>
    </xf>
    <xf numFmtId="0" fontId="12" fillId="0" borderId="8" xfId="632" applyFont="1" applyFill="1" applyBorder="1" applyAlignment="1">
      <alignment horizontal="center" vertical="center" wrapText="1"/>
      <protection/>
    </xf>
    <xf numFmtId="0" fontId="22" fillId="0" borderId="8" xfId="631" applyNumberFormat="1" applyFont="1" applyFill="1" applyBorder="1" applyAlignment="1" applyProtection="1">
      <alignment horizontal="left" vertical="center" indent="1"/>
      <protection/>
    </xf>
    <xf numFmtId="184" fontId="0" fillId="0" borderId="8" xfId="1013" applyNumberFormat="1" applyFont="1" applyFill="1" applyBorder="1" applyAlignment="1">
      <alignment horizontal="right" vertical="center"/>
    </xf>
    <xf numFmtId="0" fontId="19" fillId="0" borderId="8" xfId="635" applyNumberFormat="1" applyFont="1" applyFill="1" applyBorder="1" applyAlignment="1">
      <alignment horizontal="left" vertical="center" wrapText="1" indent="1"/>
      <protection/>
    </xf>
    <xf numFmtId="0" fontId="19" fillId="0" borderId="8" xfId="635" applyNumberFormat="1" applyFont="1" applyFill="1" applyBorder="1" applyAlignment="1">
      <alignment horizontal="left" vertical="center" indent="1" shrinkToFit="1"/>
      <protection/>
    </xf>
    <xf numFmtId="0" fontId="0" fillId="0" borderId="8" xfId="635" applyNumberFormat="1" applyFont="1" applyFill="1" applyBorder="1" applyAlignment="1">
      <alignment horizontal="left" vertical="center" wrapText="1" indent="1"/>
      <protection/>
    </xf>
    <xf numFmtId="0" fontId="0" fillId="0" borderId="0" xfId="586">
      <alignment/>
      <protection/>
    </xf>
    <xf numFmtId="0" fontId="5" fillId="0" borderId="0" xfId="586" applyFont="1">
      <alignment/>
      <protection/>
    </xf>
    <xf numFmtId="0" fontId="13" fillId="0" borderId="0" xfId="586" applyFont="1">
      <alignment/>
      <protection/>
    </xf>
    <xf numFmtId="0" fontId="23" fillId="0" borderId="8" xfId="631" applyFont="1" applyFill="1" applyBorder="1">
      <alignment vertical="center"/>
      <protection/>
    </xf>
    <xf numFmtId="204" fontId="23" fillId="0" borderId="8" xfId="196" applyNumberFormat="1" applyFont="1" applyFill="1" applyBorder="1" applyAlignment="1">
      <alignment vertical="center"/>
    </xf>
    <xf numFmtId="10" fontId="0" fillId="0" borderId="8" xfId="196" applyNumberFormat="1" applyFont="1" applyFill="1" applyBorder="1" applyAlignment="1" applyProtection="1">
      <alignment horizontal="right" vertical="center"/>
      <protection/>
    </xf>
    <xf numFmtId="0" fontId="23" fillId="0" borderId="0" xfId="630" applyFont="1" applyFill="1">
      <alignment vertical="center"/>
      <protection/>
    </xf>
    <xf numFmtId="0" fontId="0" fillId="0" borderId="0" xfId="630" applyFont="1" applyFill="1">
      <alignment vertical="center"/>
      <protection/>
    </xf>
    <xf numFmtId="0" fontId="22" fillId="0" borderId="8" xfId="630" applyNumberFormat="1" applyFont="1" applyFill="1" applyBorder="1" applyAlignment="1" applyProtection="1">
      <alignment horizontal="left" vertical="center" indent="1"/>
      <protection/>
    </xf>
    <xf numFmtId="0" fontId="23" fillId="0" borderId="8" xfId="630" applyFont="1" applyFill="1" applyBorder="1">
      <alignment vertical="center"/>
      <protection/>
    </xf>
    <xf numFmtId="192" fontId="23" fillId="0" borderId="8" xfId="630" applyNumberFormat="1" applyFont="1" applyFill="1" applyBorder="1">
      <alignment vertical="center"/>
      <protection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2" borderId="25" xfId="540" applyFont="1" applyFill="1" applyBorder="1" applyAlignment="1" applyProtection="1">
      <alignment horizontal="center" vertical="center" wrapText="1"/>
      <protection/>
    </xf>
    <xf numFmtId="0" fontId="12" fillId="2" borderId="8" xfId="540" applyFont="1" applyFill="1" applyBorder="1" applyAlignment="1" applyProtection="1">
      <alignment horizontal="center" vertical="center" wrapText="1"/>
      <protection/>
    </xf>
    <xf numFmtId="184" fontId="12" fillId="2" borderId="8" xfId="540" applyNumberFormat="1" applyFont="1" applyFill="1" applyBorder="1" applyAlignment="1" applyProtection="1">
      <alignment/>
      <protection/>
    </xf>
    <xf numFmtId="184" fontId="0" fillId="2" borderId="8" xfId="540" applyNumberFormat="1" applyFont="1" applyFill="1" applyBorder="1" applyAlignment="1" applyProtection="1">
      <alignment/>
      <protection/>
    </xf>
    <xf numFmtId="186" fontId="0" fillId="2" borderId="8" xfId="540" applyNumberFormat="1" applyFont="1" applyFill="1" applyBorder="1" applyAlignment="1" applyProtection="1">
      <alignment/>
      <protection/>
    </xf>
    <xf numFmtId="192" fontId="0" fillId="2" borderId="8" xfId="540" applyNumberFormat="1" applyFont="1" applyFill="1" applyBorder="1">
      <alignment/>
      <protection/>
    </xf>
    <xf numFmtId="184" fontId="0" fillId="2" borderId="8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/>
    </xf>
    <xf numFmtId="0" fontId="0" fillId="0" borderId="26" xfId="0" applyNumberFormat="1" applyFont="1" applyFill="1" applyBorder="1" applyAlignment="1" applyProtection="1">
      <alignment horizontal="left" vertical="top" wrapText="1"/>
      <protection/>
    </xf>
    <xf numFmtId="186" fontId="0" fillId="2" borderId="8" xfId="540" applyNumberFormat="1" applyFont="1" applyFill="1" applyBorder="1" applyAlignment="1" applyProtection="1">
      <alignment vertical="center"/>
      <protection/>
    </xf>
    <xf numFmtId="187" fontId="12" fillId="0" borderId="8" xfId="0" applyNumberFormat="1" applyFont="1" applyFill="1" applyBorder="1" applyAlignment="1">
      <alignment horizontal="distributed" vertical="center" wrapText="1"/>
    </xf>
    <xf numFmtId="187" fontId="1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/>
    </xf>
    <xf numFmtId="184" fontId="0" fillId="0" borderId="8" xfId="0" applyNumberFormat="1" applyFont="1" applyFill="1" applyBorder="1" applyAlignment="1">
      <alignment/>
    </xf>
    <xf numFmtId="186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0" fontId="0" fillId="0" borderId="8" xfId="0" applyFont="1" applyFill="1" applyBorder="1" applyAlignment="1">
      <alignment horizontal="left" indent="2"/>
    </xf>
    <xf numFmtId="0" fontId="12" fillId="0" borderId="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8" fontId="0" fillId="0" borderId="8" xfId="0" applyNumberFormat="1" applyFont="1" applyFill="1" applyBorder="1" applyAlignment="1">
      <alignment/>
    </xf>
    <xf numFmtId="193" fontId="0" fillId="0" borderId="8" xfId="0" applyNumberFormat="1" applyFont="1" applyFill="1" applyBorder="1" applyAlignment="1">
      <alignment/>
    </xf>
    <xf numFmtId="192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wrapText="1" indent="1"/>
      <protection locked="0"/>
    </xf>
    <xf numFmtId="41" fontId="0" fillId="0" borderId="8" xfId="1012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199" fontId="0" fillId="0" borderId="8" xfId="0" applyNumberFormat="1" applyFont="1" applyFill="1" applyBorder="1" applyAlignment="1">
      <alignment/>
    </xf>
    <xf numFmtId="0" fontId="12" fillId="0" borderId="27" xfId="543" applyNumberFormat="1" applyFont="1" applyFill="1" applyBorder="1" applyAlignment="1" applyProtection="1">
      <alignment horizontal="center" vertical="center" wrapText="1"/>
      <protection/>
    </xf>
    <xf numFmtId="0" fontId="12" fillId="0" borderId="8" xfId="543" applyNumberFormat="1" applyFont="1" applyFill="1" applyBorder="1" applyAlignment="1" applyProtection="1">
      <alignment horizontal="center" vertical="center" wrapText="1"/>
      <protection/>
    </xf>
    <xf numFmtId="0" fontId="11" fillId="2" borderId="0" xfId="543" applyFont="1" applyFill="1">
      <alignment/>
      <protection/>
    </xf>
    <xf numFmtId="0" fontId="11" fillId="0" borderId="0" xfId="0" applyFont="1" applyAlignment="1">
      <alignment/>
    </xf>
    <xf numFmtId="0" fontId="0" fillId="0" borderId="8" xfId="0" applyFont="1" applyBorder="1" applyAlignment="1">
      <alignment/>
    </xf>
    <xf numFmtId="0" fontId="19" fillId="0" borderId="8" xfId="634" applyFont="1" applyBorder="1" applyAlignment="1">
      <alignment horizontal="left" vertical="center" wrapText="1" indent="1"/>
      <protection/>
    </xf>
    <xf numFmtId="184" fontId="11" fillId="0" borderId="8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0" fontId="19" fillId="0" borderId="8" xfId="634" applyFont="1" applyBorder="1" applyAlignment="1">
      <alignment horizontal="left" vertical="center" wrapText="1" indent="2"/>
      <protection/>
    </xf>
    <xf numFmtId="0" fontId="0" fillId="0" borderId="8" xfId="0" applyFont="1" applyBorder="1" applyAlignment="1">
      <alignment horizontal="left" indent="2"/>
    </xf>
    <xf numFmtId="0" fontId="11" fillId="0" borderId="8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8" xfId="634" applyFont="1" applyBorder="1" applyAlignment="1">
      <alignment horizontal="left" vertical="center" wrapText="1" indent="1"/>
      <protection/>
    </xf>
    <xf numFmtId="184" fontId="0" fillId="0" borderId="8" xfId="0" applyNumberFormat="1" applyFont="1" applyBorder="1" applyAlignment="1">
      <alignment vertical="center"/>
    </xf>
    <xf numFmtId="194" fontId="0" fillId="0" borderId="8" xfId="0" applyNumberFormat="1" applyFont="1" applyBorder="1" applyAlignment="1">
      <alignment vertical="center"/>
    </xf>
    <xf numFmtId="0" fontId="19" fillId="0" borderId="8" xfId="634" applyFont="1" applyBorder="1" applyAlignment="1">
      <alignment horizontal="left" vertical="center" wrapText="1" indent="2"/>
      <protection/>
    </xf>
    <xf numFmtId="0" fontId="12" fillId="0" borderId="8" xfId="632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/>
    </xf>
    <xf numFmtId="0" fontId="0" fillId="2" borderId="27" xfId="0" applyNumberFormat="1" applyFont="1" applyFill="1" applyBorder="1" applyAlignment="1" applyProtection="1">
      <alignment horizontal="center" vertical="center" wrapText="1"/>
      <protection/>
    </xf>
    <xf numFmtId="192" fontId="0" fillId="2" borderId="8" xfId="540" applyNumberFormat="1" applyFont="1" applyFill="1" applyBorder="1" applyAlignment="1">
      <alignment vertical="center"/>
      <protection/>
    </xf>
    <xf numFmtId="0" fontId="12" fillId="0" borderId="8" xfId="0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/>
    </xf>
    <xf numFmtId="193" fontId="12" fillId="0" borderId="8" xfId="0" applyNumberFormat="1" applyFont="1" applyFill="1" applyBorder="1" applyAlignment="1">
      <alignment horizontal="center" vertical="center" wrapText="1"/>
    </xf>
    <xf numFmtId="184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2" fillId="0" borderId="27" xfId="543" applyNumberFormat="1" applyFont="1" applyFill="1" applyBorder="1" applyAlignment="1" applyProtection="1">
      <alignment horizontal="center" vertical="center" wrapText="1"/>
      <protection/>
    </xf>
    <xf numFmtId="184" fontId="0" fillId="0" borderId="8" xfId="543" applyNumberFormat="1" applyFont="1" applyFill="1" applyBorder="1" applyAlignment="1" applyProtection="1">
      <alignment/>
      <protection/>
    </xf>
    <xf numFmtId="186" fontId="0" fillId="0" borderId="8" xfId="543" applyNumberFormat="1" applyFont="1" applyFill="1" applyBorder="1" applyAlignment="1" applyProtection="1">
      <alignment/>
      <protection/>
    </xf>
    <xf numFmtId="0" fontId="12" fillId="0" borderId="27" xfId="543" applyNumberFormat="1" applyFont="1" applyFill="1" applyBorder="1" applyAlignment="1" applyProtection="1">
      <alignment horizontal="left" vertical="top" wrapText="1"/>
      <protection/>
    </xf>
    <xf numFmtId="0" fontId="0" fillId="0" borderId="27" xfId="543" applyNumberFormat="1" applyFont="1" applyFill="1" applyBorder="1" applyAlignment="1" applyProtection="1">
      <alignment horizontal="left" vertical="top" wrapText="1"/>
      <protection/>
    </xf>
    <xf numFmtId="184" fontId="0" fillId="0" borderId="11" xfId="0" applyNumberFormat="1" applyFont="1" applyFill="1" applyBorder="1" applyAlignment="1" applyProtection="1">
      <alignment/>
      <protection/>
    </xf>
    <xf numFmtId="184" fontId="0" fillId="0" borderId="8" xfId="0" applyNumberFormat="1" applyFont="1" applyFill="1" applyBorder="1" applyAlignment="1">
      <alignment/>
    </xf>
    <xf numFmtId="0" fontId="12" fillId="0" borderId="8" xfId="0" applyFont="1" applyBorder="1" applyAlignment="1">
      <alignment/>
    </xf>
    <xf numFmtId="184" fontId="0" fillId="2" borderId="8" xfId="0" applyNumberFormat="1" applyFont="1" applyFill="1" applyBorder="1" applyAlignment="1">
      <alignment/>
    </xf>
    <xf numFmtId="184" fontId="0" fillId="2" borderId="8" xfId="540" applyNumberFormat="1" applyFont="1" applyFill="1" applyBorder="1">
      <alignment/>
      <protection/>
    </xf>
    <xf numFmtId="184" fontId="0" fillId="2" borderId="8" xfId="1013" applyNumberFormat="1" applyFont="1" applyFill="1" applyBorder="1" applyAlignment="1">
      <alignment horizontal="right" vertical="center"/>
    </xf>
    <xf numFmtId="184" fontId="0" fillId="2" borderId="8" xfId="987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 indent="1"/>
    </xf>
    <xf numFmtId="184" fontId="12" fillId="0" borderId="8" xfId="0" applyNumberFormat="1" applyFont="1" applyFill="1" applyBorder="1" applyAlignment="1">
      <alignment horizontal="center" vertical="center" wrapText="1"/>
    </xf>
    <xf numFmtId="185" fontId="12" fillId="0" borderId="8" xfId="0" applyNumberFormat="1" applyFont="1" applyFill="1" applyBorder="1" applyAlignment="1">
      <alignment horizontal="center" vertical="center" wrapText="1"/>
    </xf>
    <xf numFmtId="184" fontId="0" fillId="2" borderId="11" xfId="1013" applyNumberFormat="1" applyFont="1" applyFill="1" applyBorder="1" applyAlignment="1" applyProtection="1">
      <alignment/>
      <protection/>
    </xf>
    <xf numFmtId="0" fontId="12" fillId="0" borderId="8" xfId="543" applyNumberFormat="1" applyFont="1" applyFill="1" applyBorder="1" applyAlignment="1" applyProtection="1">
      <alignment horizontal="center" vertical="center" wrapText="1"/>
      <protection/>
    </xf>
    <xf numFmtId="184" fontId="0" fillId="0" borderId="11" xfId="52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2" borderId="8" xfId="555" applyFont="1" applyFill="1" applyBorder="1" applyAlignment="1">
      <alignment horizontal="left" indent="1" shrinkToFit="1"/>
      <protection/>
    </xf>
    <xf numFmtId="184" fontId="0" fillId="77" borderId="8" xfId="0" applyNumberFormat="1" applyFont="1" applyFill="1" applyBorder="1" applyAlignment="1" applyProtection="1">
      <alignment wrapText="1"/>
      <protection/>
    </xf>
    <xf numFmtId="184" fontId="0" fillId="77" borderId="8" xfId="0" applyNumberFormat="1" applyFont="1" applyFill="1" applyBorder="1" applyAlignment="1" applyProtection="1">
      <alignment/>
      <protection/>
    </xf>
    <xf numFmtId="198" fontId="0" fillId="77" borderId="11" xfId="0" applyNumberFormat="1" applyFont="1" applyFill="1" applyBorder="1" applyAlignment="1" applyProtection="1">
      <alignment/>
      <protection/>
    </xf>
    <xf numFmtId="198" fontId="0" fillId="77" borderId="8" xfId="0" applyNumberFormat="1" applyFill="1" applyBorder="1" applyAlignment="1">
      <alignment vertical="center"/>
    </xf>
    <xf numFmtId="198" fontId="0" fillId="77" borderId="8" xfId="0" applyNumberFormat="1" applyFont="1" applyFill="1" applyBorder="1" applyAlignment="1" applyProtection="1">
      <alignment wrapText="1"/>
      <protection/>
    </xf>
    <xf numFmtId="198" fontId="0" fillId="77" borderId="8" xfId="1013" applyNumberFormat="1" applyFont="1" applyFill="1" applyBorder="1" applyAlignment="1" applyProtection="1">
      <alignment wrapText="1"/>
      <protection/>
    </xf>
    <xf numFmtId="198" fontId="0" fillId="77" borderId="8" xfId="0" applyNumberFormat="1" applyFont="1" applyFill="1" applyBorder="1" applyAlignment="1" applyProtection="1">
      <alignment/>
      <protection/>
    </xf>
    <xf numFmtId="0" fontId="0" fillId="77" borderId="26" xfId="0" applyNumberFormat="1" applyFont="1" applyFill="1" applyBorder="1" applyAlignment="1" applyProtection="1">
      <alignment horizontal="left" vertical="top" wrapText="1"/>
      <protection/>
    </xf>
    <xf numFmtId="184" fontId="0" fillId="77" borderId="8" xfId="0" applyNumberFormat="1" applyFill="1" applyBorder="1" applyAlignment="1">
      <alignment vertical="center"/>
    </xf>
    <xf numFmtId="193" fontId="0" fillId="77" borderId="11" xfId="0" applyNumberFormat="1" applyFill="1" applyBorder="1" applyAlignment="1">
      <alignment vertical="center"/>
    </xf>
    <xf numFmtId="203" fontId="23" fillId="2" borderId="0" xfId="998" applyNumberFormat="1" applyFont="1" applyFill="1" applyAlignment="1">
      <alignment vertical="center"/>
    </xf>
    <xf numFmtId="203" fontId="0" fillId="2" borderId="0" xfId="998" applyNumberFormat="1" applyFont="1" applyFill="1" applyAlignment="1">
      <alignment vertical="center"/>
    </xf>
    <xf numFmtId="0" fontId="0" fillId="2" borderId="0" xfId="0" applyFill="1" applyAlignment="1">
      <alignment/>
    </xf>
    <xf numFmtId="203" fontId="0" fillId="2" borderId="28" xfId="998" applyNumberFormat="1" applyFont="1" applyFill="1" applyBorder="1" applyAlignment="1">
      <alignment horizontal="center" vertical="center"/>
    </xf>
    <xf numFmtId="203" fontId="6" fillId="2" borderId="28" xfId="998" applyNumberFormat="1" applyFont="1" applyFill="1" applyBorder="1" applyAlignment="1">
      <alignment horizontal="right" vertical="center"/>
    </xf>
    <xf numFmtId="203" fontId="12" fillId="2" borderId="8" xfId="998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2" fillId="2" borderId="8" xfId="631" applyFont="1" applyFill="1" applyBorder="1">
      <alignment vertical="center"/>
      <protection/>
    </xf>
    <xf numFmtId="203" fontId="0" fillId="2" borderId="8" xfId="998" applyNumberFormat="1" applyFont="1" applyFill="1" applyBorder="1" applyAlignment="1">
      <alignment vertical="center"/>
    </xf>
    <xf numFmtId="203" fontId="12" fillId="2" borderId="8" xfId="998" applyNumberFormat="1" applyFont="1" applyFill="1" applyBorder="1" applyAlignment="1">
      <alignment horizontal="left" vertical="center" indent="1"/>
    </xf>
    <xf numFmtId="0" fontId="12" fillId="2" borderId="8" xfId="998" applyNumberFormat="1" applyFont="1" applyFill="1" applyBorder="1" applyAlignment="1">
      <alignment horizontal="left" vertical="center" indent="1"/>
    </xf>
    <xf numFmtId="203" fontId="0" fillId="2" borderId="8" xfId="998" applyNumberFormat="1" applyFont="1" applyFill="1" applyBorder="1" applyAlignment="1">
      <alignment horizontal="left" vertical="center" indent="2"/>
    </xf>
    <xf numFmtId="0" fontId="0" fillId="2" borderId="8" xfId="998" applyNumberFormat="1" applyFont="1" applyFill="1" applyBorder="1" applyAlignment="1">
      <alignment horizontal="left" vertical="center" indent="2"/>
    </xf>
    <xf numFmtId="0" fontId="12" fillId="2" borderId="8" xfId="636" applyFont="1" applyFill="1" applyBorder="1" applyAlignment="1">
      <alignment horizontal="left" vertical="center"/>
      <protection/>
    </xf>
    <xf numFmtId="0" fontId="0" fillId="2" borderId="8" xfId="636" applyNumberFormat="1" applyFont="1" applyFill="1" applyBorder="1" applyAlignment="1" applyProtection="1">
      <alignment horizontal="left" vertical="center" indent="1"/>
      <protection/>
    </xf>
    <xf numFmtId="0" fontId="0" fillId="2" borderId="8" xfId="636" applyFont="1" applyFill="1" applyBorder="1" applyAlignment="1">
      <alignment horizontal="left" vertical="center" indent="1"/>
      <protection/>
    </xf>
    <xf numFmtId="0" fontId="3" fillId="77" borderId="0" xfId="0" applyFont="1" applyFill="1" applyAlignment="1">
      <alignment/>
    </xf>
    <xf numFmtId="0" fontId="6" fillId="77" borderId="0" xfId="0" applyFont="1" applyFill="1" applyAlignment="1">
      <alignment horizontal="right"/>
    </xf>
    <xf numFmtId="192" fontId="0" fillId="77" borderId="8" xfId="0" applyNumberFormat="1" applyFont="1" applyFill="1" applyBorder="1" applyAlignment="1">
      <alignment/>
    </xf>
    <xf numFmtId="0" fontId="3" fillId="77" borderId="0" xfId="0" applyFont="1" applyFill="1" applyAlignment="1">
      <alignment horizontal="right"/>
    </xf>
    <xf numFmtId="184" fontId="3" fillId="77" borderId="0" xfId="0" applyNumberFormat="1" applyFont="1" applyFill="1" applyAlignment="1">
      <alignment horizontal="right"/>
    </xf>
    <xf numFmtId="184" fontId="0" fillId="77" borderId="8" xfId="0" applyNumberFormat="1" applyFont="1" applyFill="1" applyBorder="1" applyAlignment="1" applyProtection="1">
      <alignment/>
      <protection/>
    </xf>
    <xf numFmtId="0" fontId="0" fillId="77" borderId="8" xfId="0" applyNumberFormat="1" applyFont="1" applyFill="1" applyBorder="1" applyAlignment="1" applyProtection="1">
      <alignment wrapText="1"/>
      <protection/>
    </xf>
    <xf numFmtId="184" fontId="0" fillId="77" borderId="8" xfId="0" applyNumberFormat="1" applyFont="1" applyFill="1" applyBorder="1" applyAlignment="1">
      <alignment/>
    </xf>
    <xf numFmtId="184" fontId="0" fillId="77" borderId="11" xfId="0" applyNumberFormat="1" applyFont="1" applyFill="1" applyBorder="1" applyAlignment="1" applyProtection="1">
      <alignment/>
      <protection/>
    </xf>
    <xf numFmtId="184" fontId="8" fillId="77" borderId="0" xfId="0" applyNumberFormat="1" applyFont="1" applyFill="1" applyAlignment="1">
      <alignment horizontal="right"/>
    </xf>
    <xf numFmtId="0" fontId="8" fillId="77" borderId="0" xfId="0" applyFont="1" applyFill="1" applyAlignment="1">
      <alignment horizontal="right"/>
    </xf>
    <xf numFmtId="184" fontId="0" fillId="77" borderId="8" xfId="0" applyNumberFormat="1" applyFont="1" applyFill="1" applyBorder="1" applyAlignment="1" applyProtection="1">
      <alignment horizontal="right"/>
      <protection/>
    </xf>
    <xf numFmtId="184" fontId="0" fillId="77" borderId="8" xfId="528" applyNumberFormat="1" applyFont="1" applyFill="1" applyBorder="1" applyAlignment="1" applyProtection="1">
      <alignment horizontal="right"/>
      <protection/>
    </xf>
    <xf numFmtId="193" fontId="19" fillId="77" borderId="8" xfId="0" applyNumberFormat="1" applyFont="1" applyFill="1" applyBorder="1" applyAlignment="1">
      <alignment vertical="center"/>
    </xf>
    <xf numFmtId="223" fontId="0" fillId="77" borderId="11" xfId="0" applyNumberFormat="1" applyFont="1" applyFill="1" applyBorder="1" applyAlignment="1" applyProtection="1">
      <alignment/>
      <protection/>
    </xf>
    <xf numFmtId="193" fontId="0" fillId="77" borderId="8" xfId="0" applyNumberFormat="1" applyFill="1" applyBorder="1" applyAlignment="1">
      <alignment vertical="center"/>
    </xf>
    <xf numFmtId="186" fontId="0" fillId="77" borderId="11" xfId="0" applyNumberFormat="1" applyFont="1" applyFill="1" applyBorder="1" applyAlignment="1" applyProtection="1">
      <alignment/>
      <protection/>
    </xf>
    <xf numFmtId="184" fontId="0" fillId="77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26" xfId="564" applyNumberFormat="1" applyFont="1" applyFill="1" applyBorder="1" applyAlignment="1" applyProtection="1">
      <alignment horizontal="left" vertical="top" wrapText="1"/>
      <protection/>
    </xf>
    <xf numFmtId="0" fontId="0" fillId="0" borderId="26" xfId="565" applyNumberFormat="1" applyFont="1" applyFill="1" applyBorder="1" applyAlignment="1" applyProtection="1">
      <alignment horizontal="left" vertical="top" wrapText="1"/>
      <protection/>
    </xf>
    <xf numFmtId="0" fontId="0" fillId="0" borderId="26" xfId="570" applyNumberFormat="1" applyFont="1" applyFill="1" applyBorder="1" applyAlignment="1" applyProtection="1">
      <alignment horizontal="left" vertical="top" wrapText="1"/>
      <protection/>
    </xf>
    <xf numFmtId="0" fontId="0" fillId="0" borderId="26" xfId="581" applyNumberFormat="1" applyFont="1" applyFill="1" applyBorder="1" applyAlignment="1" applyProtection="1">
      <alignment horizontal="left" vertical="top" wrapText="1"/>
      <protection/>
    </xf>
    <xf numFmtId="0" fontId="0" fillId="0" borderId="26" xfId="599" applyNumberFormat="1" applyFont="1" applyFill="1" applyBorder="1" applyAlignment="1" applyProtection="1">
      <alignment horizontal="left" vertical="top" wrapText="1"/>
      <protection/>
    </xf>
    <xf numFmtId="186" fontId="0" fillId="0" borderId="8" xfId="0" applyNumberFormat="1" applyBorder="1" applyAlignment="1">
      <alignment/>
    </xf>
    <xf numFmtId="0" fontId="12" fillId="2" borderId="8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>
      <alignment horizontal="left" indent="2"/>
    </xf>
    <xf numFmtId="193" fontId="0" fillId="77" borderId="8" xfId="0" applyNumberFormat="1" applyFont="1" applyFill="1" applyBorder="1" applyAlignment="1" applyProtection="1">
      <alignment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 vertical="center"/>
    </xf>
    <xf numFmtId="0" fontId="0" fillId="0" borderId="30" xfId="0" applyNumberFormat="1" applyFont="1" applyFill="1" applyBorder="1" applyAlignment="1" applyProtection="1">
      <alignment/>
      <protection/>
    </xf>
    <xf numFmtId="0" fontId="0" fillId="0" borderId="8" xfId="0" applyFont="1" applyFill="1" applyBorder="1" applyAlignment="1">
      <alignment horizontal="left" indent="1"/>
    </xf>
    <xf numFmtId="184" fontId="0" fillId="0" borderId="8" xfId="543" applyNumberFormat="1" applyFont="1" applyFill="1" applyBorder="1" applyAlignment="1" applyProtection="1">
      <alignment/>
      <protection/>
    </xf>
    <xf numFmtId="0" fontId="0" fillId="0" borderId="26" xfId="605" applyNumberFormat="1" applyFont="1" applyFill="1" applyBorder="1" applyAlignment="1" applyProtection="1">
      <alignment horizontal="left" vertical="top" wrapText="1"/>
      <protection/>
    </xf>
    <xf numFmtId="203" fontId="0" fillId="2" borderId="8" xfId="0" applyNumberFormat="1" applyFont="1" applyFill="1" applyBorder="1" applyAlignment="1">
      <alignment/>
    </xf>
    <xf numFmtId="198" fontId="0" fillId="2" borderId="8" xfId="0" applyNumberFormat="1" applyFont="1" applyFill="1" applyBorder="1" applyAlignment="1">
      <alignment horizontal="right"/>
    </xf>
    <xf numFmtId="198" fontId="12" fillId="2" borderId="8" xfId="0" applyNumberFormat="1" applyFont="1" applyFill="1" applyBorder="1" applyAlignment="1">
      <alignment horizontal="center" vertical="center" wrapText="1"/>
    </xf>
    <xf numFmtId="198" fontId="0" fillId="2" borderId="8" xfId="0" applyNumberFormat="1" applyFont="1" applyFill="1" applyBorder="1" applyAlignment="1" applyProtection="1">
      <alignment/>
      <protection/>
    </xf>
    <xf numFmtId="0" fontId="0" fillId="0" borderId="26" xfId="621" applyNumberFormat="1" applyFont="1" applyFill="1" applyBorder="1" applyAlignment="1" applyProtection="1">
      <alignment horizontal="left" vertical="top" wrapText="1"/>
      <protection/>
    </xf>
    <xf numFmtId="193" fontId="0" fillId="77" borderId="0" xfId="0" applyNumberFormat="1" applyFill="1" applyBorder="1" applyAlignment="1">
      <alignment vertical="center"/>
    </xf>
    <xf numFmtId="0" fontId="12" fillId="0" borderId="8" xfId="636" applyFont="1" applyFill="1" applyBorder="1" applyAlignment="1">
      <alignment horizontal="left" vertical="center"/>
      <protection/>
    </xf>
    <xf numFmtId="0" fontId="2" fillId="2" borderId="0" xfId="528" applyFont="1" applyFill="1">
      <alignment/>
      <protection/>
    </xf>
    <xf numFmtId="184" fontId="0" fillId="2" borderId="11" xfId="0" applyNumberFormat="1" applyFont="1" applyFill="1" applyBorder="1" applyAlignment="1" applyProtection="1">
      <alignment/>
      <protection/>
    </xf>
    <xf numFmtId="0" fontId="6" fillId="2" borderId="0" xfId="528" applyFont="1" applyFill="1">
      <alignment/>
      <protection/>
    </xf>
    <xf numFmtId="184" fontId="8" fillId="2" borderId="0" xfId="528" applyNumberFormat="1" applyFont="1" applyFill="1" applyAlignment="1">
      <alignment horizontal="right"/>
      <protection/>
    </xf>
    <xf numFmtId="0" fontId="8" fillId="2" borderId="0" xfId="528" applyFont="1" applyFill="1" applyAlignment="1">
      <alignment horizontal="right"/>
      <protection/>
    </xf>
    <xf numFmtId="0" fontId="6" fillId="2" borderId="0" xfId="528" applyFont="1" applyFill="1" applyAlignment="1">
      <alignment horizontal="right"/>
      <protection/>
    </xf>
    <xf numFmtId="0" fontId="12" fillId="2" borderId="27" xfId="528" applyNumberFormat="1" applyFont="1" applyFill="1" applyBorder="1" applyAlignment="1" applyProtection="1">
      <alignment horizontal="left" vertical="top" shrinkToFit="1"/>
      <protection/>
    </xf>
    <xf numFmtId="184" fontId="12" fillId="2" borderId="8" xfId="528" applyNumberFormat="1" applyFont="1" applyFill="1" applyBorder="1" applyAlignment="1" applyProtection="1">
      <alignment horizontal="right" shrinkToFit="1"/>
      <protection/>
    </xf>
    <xf numFmtId="0" fontId="0" fillId="2" borderId="8" xfId="0" applyFill="1" applyBorder="1" applyAlignment="1">
      <alignment vertical="center"/>
    </xf>
    <xf numFmtId="184" fontId="0" fillId="77" borderId="31" xfId="0" applyNumberFormat="1" applyFont="1" applyFill="1" applyBorder="1" applyAlignment="1" applyProtection="1">
      <alignment horizontal="right"/>
      <protection/>
    </xf>
    <xf numFmtId="184" fontId="0" fillId="77" borderId="32" xfId="0" applyNumberFormat="1" applyFont="1" applyFill="1" applyBorder="1" applyAlignment="1" applyProtection="1">
      <alignment/>
      <protection/>
    </xf>
    <xf numFmtId="192" fontId="0" fillId="0" borderId="11" xfId="0" applyNumberFormat="1" applyFont="1" applyFill="1" applyBorder="1" applyAlignment="1" applyProtection="1">
      <alignment/>
      <protection/>
    </xf>
    <xf numFmtId="192" fontId="0" fillId="0" borderId="11" xfId="625" applyNumberFormat="1" applyFont="1" applyFill="1" applyBorder="1" applyAlignment="1" applyProtection="1">
      <alignment/>
      <protection/>
    </xf>
    <xf numFmtId="192" fontId="0" fillId="0" borderId="11" xfId="626" applyNumberFormat="1" applyFont="1" applyFill="1" applyBorder="1" applyAlignment="1" applyProtection="1">
      <alignment/>
      <protection/>
    </xf>
    <xf numFmtId="192" fontId="0" fillId="0" borderId="11" xfId="628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192" fontId="0" fillId="0" borderId="11" xfId="579" applyNumberFormat="1" applyFont="1" applyFill="1" applyBorder="1" applyAlignment="1" applyProtection="1">
      <alignment/>
      <protection/>
    </xf>
    <xf numFmtId="193" fontId="0" fillId="77" borderId="33" xfId="0" applyNumberFormat="1" applyFill="1" applyBorder="1" applyAlignment="1">
      <alignment vertical="center"/>
    </xf>
    <xf numFmtId="192" fontId="0" fillId="0" borderId="8" xfId="555" applyNumberFormat="1" applyFont="1" applyFill="1" applyBorder="1" applyAlignment="1" applyProtection="1">
      <alignment shrinkToFit="1"/>
      <protection/>
    </xf>
    <xf numFmtId="0" fontId="102" fillId="0" borderId="8" xfId="555" applyNumberFormat="1" applyFont="1" applyFill="1" applyBorder="1" applyAlignment="1" applyProtection="1">
      <alignment horizontal="left" vertical="top" shrinkToFit="1"/>
      <protection/>
    </xf>
    <xf numFmtId="192" fontId="102" fillId="0" borderId="8" xfId="555" applyNumberFormat="1" applyFont="1" applyFill="1" applyBorder="1" applyAlignment="1" applyProtection="1">
      <alignment shrinkToFit="1"/>
      <protection/>
    </xf>
    <xf numFmtId="192" fontId="102" fillId="0" borderId="8" xfId="555" applyNumberFormat="1" applyFont="1" applyFill="1" applyBorder="1" applyAlignment="1">
      <alignment shrinkToFit="1"/>
      <protection/>
    </xf>
    <xf numFmtId="0" fontId="103" fillId="0" borderId="0" xfId="555" applyFont="1" applyFill="1" applyAlignment="1">
      <alignment shrinkToFi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2" fillId="77" borderId="8" xfId="0" applyNumberFormat="1" applyFont="1" applyFill="1" applyBorder="1" applyAlignment="1" applyProtection="1">
      <alignment horizontal="center" vertical="center" wrapText="1"/>
      <protection/>
    </xf>
    <xf numFmtId="0" fontId="12" fillId="2" borderId="34" xfId="528" applyNumberFormat="1" applyFont="1" applyFill="1" applyBorder="1" applyAlignment="1" applyProtection="1">
      <alignment horizontal="center" vertical="center" wrapText="1"/>
      <protection/>
    </xf>
    <xf numFmtId="184" fontId="12" fillId="2" borderId="25" xfId="528" applyNumberFormat="1" applyFont="1" applyFill="1" applyBorder="1" applyAlignment="1" applyProtection="1">
      <alignment horizontal="center" vertical="center" wrapText="1"/>
      <protection/>
    </xf>
    <xf numFmtId="184" fontId="12" fillId="2" borderId="8" xfId="528" applyNumberFormat="1" applyFont="1" applyFill="1" applyBorder="1" applyAlignment="1" applyProtection="1">
      <alignment horizontal="center" vertical="center" wrapText="1"/>
      <protection/>
    </xf>
    <xf numFmtId="184" fontId="12" fillId="2" borderId="35" xfId="528" applyNumberFormat="1" applyFont="1" applyFill="1" applyBorder="1" applyAlignment="1" applyProtection="1">
      <alignment horizontal="center" vertical="center" wrapText="1"/>
      <protection/>
    </xf>
    <xf numFmtId="198" fontId="0" fillId="77" borderId="8" xfId="0" applyNumberFormat="1" applyFill="1" applyBorder="1" applyAlignment="1">
      <alignment horizontal="right" vertical="center"/>
    </xf>
    <xf numFmtId="192" fontId="0" fillId="2" borderId="8" xfId="555" applyNumberFormat="1" applyFont="1" applyFill="1" applyBorder="1" applyAlignment="1">
      <alignment shrinkToFit="1"/>
      <protection/>
    </xf>
    <xf numFmtId="0" fontId="12" fillId="2" borderId="27" xfId="528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192" fontId="0" fillId="0" borderId="8" xfId="0" applyNumberFormat="1" applyFont="1" applyBorder="1" applyAlignment="1">
      <alignment/>
    </xf>
    <xf numFmtId="0" fontId="2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93" fontId="104" fillId="0" borderId="8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87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Alignment="1">
      <alignment/>
    </xf>
    <xf numFmtId="0" fontId="105" fillId="2" borderId="0" xfId="0" applyFont="1" applyFill="1" applyAlignment="1">
      <alignment/>
    </xf>
    <xf numFmtId="184" fontId="0" fillId="0" borderId="8" xfId="540" applyNumberFormat="1" applyFont="1" applyFill="1" applyBorder="1" applyAlignment="1" applyProtection="1">
      <alignment/>
      <protection/>
    </xf>
    <xf numFmtId="0" fontId="11" fillId="0" borderId="0" xfId="543" applyFont="1" applyFill="1">
      <alignment/>
      <protection/>
    </xf>
    <xf numFmtId="0" fontId="0" fillId="0" borderId="8" xfId="555" applyFont="1" applyFill="1" applyBorder="1" applyAlignment="1">
      <alignment horizontal="left" indent="1" shrinkToFit="1"/>
      <protection/>
    </xf>
    <xf numFmtId="0" fontId="0" fillId="0" borderId="8" xfId="555" applyNumberFormat="1" applyFont="1" applyFill="1" applyBorder="1" applyAlignment="1" applyProtection="1">
      <alignment horizontal="left" vertical="top" shrinkToFit="1"/>
      <protection/>
    </xf>
    <xf numFmtId="192" fontId="0" fillId="0" borderId="8" xfId="555" applyNumberFormat="1" applyFont="1" applyFill="1" applyBorder="1" applyAlignment="1">
      <alignment shrinkToFit="1"/>
      <protection/>
    </xf>
    <xf numFmtId="192" fontId="0" fillId="0" borderId="8" xfId="555" applyNumberFormat="1" applyFont="1" applyFill="1" applyBorder="1" applyAlignment="1">
      <alignment shrinkToFit="1"/>
      <protection/>
    </xf>
    <xf numFmtId="0" fontId="11" fillId="0" borderId="0" xfId="555" applyFont="1" applyFill="1" applyAlignment="1">
      <alignment shrinkToFit="1"/>
      <protection/>
    </xf>
    <xf numFmtId="0" fontId="3" fillId="0" borderId="0" xfId="555" applyFont="1" applyFill="1">
      <alignment/>
      <protection/>
    </xf>
    <xf numFmtId="186" fontId="1" fillId="0" borderId="0" xfId="637" applyNumberFormat="1" applyFill="1">
      <alignment/>
      <protection/>
    </xf>
    <xf numFmtId="0" fontId="2" fillId="0" borderId="0" xfId="555" applyFont="1" applyFill="1" applyAlignment="1">
      <alignment wrapText="1"/>
      <protection/>
    </xf>
    <xf numFmtId="0" fontId="3" fillId="0" borderId="0" xfId="555" applyFont="1" applyFill="1" applyAlignment="1">
      <alignment wrapText="1"/>
      <protection/>
    </xf>
    <xf numFmtId="0" fontId="6" fillId="0" borderId="0" xfId="555" applyFont="1" applyFill="1" applyAlignment="1">
      <alignment wrapText="1"/>
      <protection/>
    </xf>
    <xf numFmtId="0" fontId="6" fillId="0" borderId="0" xfId="555" applyFont="1" applyFill="1" applyAlignment="1">
      <alignment horizontal="right" vertical="center"/>
      <protection/>
    </xf>
    <xf numFmtId="0" fontId="3" fillId="0" borderId="0" xfId="555" applyFont="1" applyFill="1" applyAlignment="1">
      <alignment shrinkToFit="1"/>
      <protection/>
    </xf>
    <xf numFmtId="0" fontId="12" fillId="0" borderId="8" xfId="555" applyNumberFormat="1" applyFont="1" applyFill="1" applyBorder="1" applyAlignment="1" applyProtection="1">
      <alignment horizontal="center" vertical="center" shrinkToFit="1"/>
      <protection/>
    </xf>
    <xf numFmtId="192" fontId="12" fillId="0" borderId="8" xfId="555" applyNumberFormat="1" applyFont="1" applyFill="1" applyBorder="1" applyAlignment="1">
      <alignment shrinkToFit="1"/>
      <protection/>
    </xf>
    <xf numFmtId="0" fontId="12" fillId="0" borderId="8" xfId="555" applyFont="1" applyFill="1" applyBorder="1" applyAlignment="1">
      <alignment shrinkToFit="1"/>
      <protection/>
    </xf>
    <xf numFmtId="0" fontId="12" fillId="0" borderId="8" xfId="555" applyNumberFormat="1" applyFont="1" applyFill="1" applyBorder="1" applyAlignment="1" applyProtection="1">
      <alignment horizontal="center" vertical="center" shrinkToFit="1"/>
      <protection/>
    </xf>
    <xf numFmtId="192" fontId="12" fillId="0" borderId="8" xfId="555" applyNumberFormat="1" applyFont="1" applyFill="1" applyBorder="1" applyAlignment="1" applyProtection="1">
      <alignment shrinkToFit="1"/>
      <protection/>
    </xf>
    <xf numFmtId="0" fontId="0" fillId="0" borderId="8" xfId="555" applyNumberFormat="1" applyFont="1" applyFill="1" applyBorder="1" applyAlignment="1" applyProtection="1">
      <alignment vertical="center" shrinkToFit="1"/>
      <protection/>
    </xf>
    <xf numFmtId="0" fontId="12" fillId="0" borderId="8" xfId="555" applyNumberFormat="1" applyFont="1" applyFill="1" applyBorder="1" applyAlignment="1" applyProtection="1">
      <alignment horizontal="left" vertical="top" shrinkToFit="1"/>
      <protection/>
    </xf>
    <xf numFmtId="192" fontId="12" fillId="0" borderId="8" xfId="555" applyNumberFormat="1" applyFont="1" applyFill="1" applyBorder="1" applyAlignment="1">
      <alignment shrinkToFit="1"/>
      <protection/>
    </xf>
    <xf numFmtId="0" fontId="10" fillId="0" borderId="0" xfId="555" applyFont="1" applyFill="1" applyAlignment="1">
      <alignment shrinkToFit="1"/>
      <protection/>
    </xf>
    <xf numFmtId="0" fontId="0" fillId="0" borderId="11" xfId="0" applyNumberFormat="1" applyFont="1" applyFill="1" applyBorder="1" applyAlignment="1" applyProtection="1">
      <alignment horizontal="left" wrapText="1" indent="1"/>
      <protection/>
    </xf>
    <xf numFmtId="0" fontId="12" fillId="0" borderId="8" xfId="555" applyFont="1" applyFill="1" applyBorder="1" applyAlignment="1">
      <alignment shrinkToFit="1"/>
      <protection/>
    </xf>
    <xf numFmtId="0" fontId="3" fillId="0" borderId="8" xfId="555" applyFont="1" applyFill="1" applyBorder="1" applyAlignment="1">
      <alignment wrapText="1"/>
      <protection/>
    </xf>
    <xf numFmtId="192" fontId="12" fillId="0" borderId="8" xfId="555" applyNumberFormat="1" applyFont="1" applyFill="1" applyBorder="1">
      <alignment/>
      <protection/>
    </xf>
    <xf numFmtId="192" fontId="0" fillId="0" borderId="8" xfId="555" applyNumberFormat="1" applyFont="1" applyFill="1" applyBorder="1">
      <alignment/>
      <protection/>
    </xf>
    <xf numFmtId="192" fontId="0" fillId="0" borderId="11" xfId="594" applyNumberFormat="1" applyFont="1" applyFill="1" applyBorder="1" applyAlignment="1" applyProtection="1">
      <alignment/>
      <protection/>
    </xf>
    <xf numFmtId="0" fontId="0" fillId="0" borderId="0" xfId="555" applyFont="1" applyFill="1" applyAlignment="1">
      <alignment wrapText="1"/>
      <protection/>
    </xf>
    <xf numFmtId="0" fontId="10" fillId="0" borderId="8" xfId="555" applyFont="1" applyFill="1" applyBorder="1" applyAlignment="1">
      <alignment shrinkToFi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192" fontId="0" fillId="2" borderId="8" xfId="528" applyNumberFormat="1" applyFont="1" applyFill="1" applyBorder="1" applyAlignment="1">
      <alignment horizontal="right" shrinkToFit="1"/>
      <protection/>
    </xf>
    <xf numFmtId="192" fontId="12" fillId="2" borderId="8" xfId="528" applyNumberFormat="1" applyFont="1" applyFill="1" applyBorder="1" applyAlignment="1">
      <alignment horizontal="right" shrinkToFit="1"/>
      <protection/>
    </xf>
    <xf numFmtId="0" fontId="12" fillId="2" borderId="8" xfId="528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/>
    </xf>
    <xf numFmtId="0" fontId="0" fillId="2" borderId="25" xfId="555" applyFont="1" applyFill="1" applyBorder="1" applyAlignment="1">
      <alignment horizontal="left" indent="1" shrinkToFit="1"/>
      <protection/>
    </xf>
    <xf numFmtId="192" fontId="0" fillId="2" borderId="25" xfId="555" applyNumberFormat="1" applyFont="1" applyFill="1" applyBorder="1" applyAlignment="1">
      <alignment shrinkToFit="1"/>
      <protection/>
    </xf>
    <xf numFmtId="0" fontId="0" fillId="0" borderId="8" xfId="0" applyFont="1" applyBorder="1" applyAlignment="1">
      <alignment horizontal="center"/>
    </xf>
    <xf numFmtId="184" fontId="0" fillId="2" borderId="8" xfId="0" applyNumberFormat="1" applyFont="1" applyFill="1" applyBorder="1" applyAlignment="1">
      <alignment horizontal="right"/>
    </xf>
    <xf numFmtId="192" fontId="11" fillId="0" borderId="0" xfId="0" applyNumberFormat="1" applyFont="1" applyAlignment="1">
      <alignment/>
    </xf>
    <xf numFmtId="0" fontId="12" fillId="0" borderId="36" xfId="555" applyNumberFormat="1" applyFont="1" applyFill="1" applyBorder="1" applyAlignment="1" applyProtection="1">
      <alignment horizontal="center" vertical="center" shrinkToFit="1"/>
      <protection/>
    </xf>
    <xf numFmtId="0" fontId="12" fillId="0" borderId="36" xfId="555" applyNumberFormat="1" applyFont="1" applyFill="1" applyBorder="1" applyAlignment="1" applyProtection="1">
      <alignment horizontal="center" vertical="center" shrinkToFit="1"/>
      <protection/>
    </xf>
    <xf numFmtId="192" fontId="12" fillId="0" borderId="8" xfId="555" applyNumberFormat="1" applyFont="1" applyFill="1" applyBorder="1" applyAlignment="1" applyProtection="1">
      <alignment horizontal="center" vertical="center" shrinkToFit="1"/>
      <protection/>
    </xf>
    <xf numFmtId="0" fontId="0" fillId="0" borderId="8" xfId="555" applyNumberFormat="1" applyFont="1" applyFill="1" applyBorder="1" applyAlignment="1" applyProtection="1">
      <alignment horizontal="left" vertical="center" indent="1" shrinkToFit="1"/>
      <protection/>
    </xf>
    <xf numFmtId="184" fontId="12" fillId="77" borderId="11" xfId="0" applyNumberFormat="1" applyFont="1" applyFill="1" applyBorder="1" applyAlignment="1" applyProtection="1">
      <alignment/>
      <protection/>
    </xf>
    <xf numFmtId="0" fontId="7" fillId="77" borderId="0" xfId="0" applyFont="1" applyFill="1" applyAlignment="1">
      <alignment/>
    </xf>
    <xf numFmtId="0" fontId="6" fillId="77" borderId="0" xfId="540" applyFont="1" applyFill="1">
      <alignment/>
      <protection/>
    </xf>
    <xf numFmtId="0" fontId="77" fillId="77" borderId="0" xfId="0" applyFont="1" applyFill="1" applyAlignment="1">
      <alignment/>
    </xf>
    <xf numFmtId="0" fontId="12" fillId="77" borderId="8" xfId="0" applyNumberFormat="1" applyFont="1" applyFill="1" applyBorder="1" applyAlignment="1" applyProtection="1">
      <alignment horizontal="center" wrapText="1"/>
      <protection/>
    </xf>
    <xf numFmtId="0" fontId="12" fillId="77" borderId="8" xfId="0" applyNumberFormat="1" applyFont="1" applyFill="1" applyBorder="1" applyAlignment="1" applyProtection="1">
      <alignment wrapText="1"/>
      <protection/>
    </xf>
    <xf numFmtId="198" fontId="0" fillId="77" borderId="8" xfId="0" applyNumberFormat="1" applyFont="1" applyFill="1" applyBorder="1" applyAlignment="1" applyProtection="1">
      <alignment wrapText="1"/>
      <protection/>
    </xf>
    <xf numFmtId="4" fontId="3" fillId="77" borderId="0" xfId="0" applyNumberFormat="1" applyFont="1" applyFill="1" applyAlignment="1">
      <alignment/>
    </xf>
    <xf numFmtId="0" fontId="0" fillId="77" borderId="8" xfId="0" applyNumberFormat="1" applyFont="1" applyFill="1" applyBorder="1" applyAlignment="1" applyProtection="1">
      <alignment wrapText="1"/>
      <protection/>
    </xf>
    <xf numFmtId="198" fontId="0" fillId="77" borderId="11" xfId="0" applyNumberFormat="1" applyFont="1" applyFill="1" applyBorder="1" applyAlignment="1" applyProtection="1">
      <alignment/>
      <protection/>
    </xf>
    <xf numFmtId="198" fontId="0" fillId="77" borderId="8" xfId="0" applyNumberFormat="1" applyFont="1" applyFill="1" applyBorder="1" applyAlignment="1" applyProtection="1">
      <alignment/>
      <protection/>
    </xf>
    <xf numFmtId="186" fontId="3" fillId="77" borderId="0" xfId="0" applyNumberFormat="1" applyFont="1" applyFill="1" applyAlignment="1">
      <alignment/>
    </xf>
    <xf numFmtId="184" fontId="3" fillId="77" borderId="0" xfId="0" applyNumberFormat="1" applyFont="1" applyFill="1" applyAlignment="1">
      <alignment/>
    </xf>
    <xf numFmtId="0" fontId="2" fillId="77" borderId="0" xfId="0" applyFont="1" applyFill="1" applyAlignment="1">
      <alignment/>
    </xf>
    <xf numFmtId="0" fontId="6" fillId="77" borderId="0" xfId="0" applyFont="1" applyFill="1" applyAlignment="1">
      <alignment/>
    </xf>
    <xf numFmtId="0" fontId="6" fillId="77" borderId="0" xfId="0" applyFont="1" applyFill="1" applyAlignment="1">
      <alignment horizontal="right"/>
    </xf>
    <xf numFmtId="0" fontId="11" fillId="77" borderId="0" xfId="0" applyFont="1" applyFill="1" applyAlignment="1">
      <alignment/>
    </xf>
    <xf numFmtId="0" fontId="12" fillId="77" borderId="27" xfId="0" applyNumberFormat="1" applyFont="1" applyFill="1" applyBorder="1" applyAlignment="1" applyProtection="1">
      <alignment horizontal="center" vertical="center" wrapText="1"/>
      <protection/>
    </xf>
    <xf numFmtId="192" fontId="0" fillId="77" borderId="8" xfId="0" applyNumberFormat="1" applyFont="1" applyFill="1" applyBorder="1" applyAlignment="1">
      <alignment horizontal="right"/>
    </xf>
    <xf numFmtId="0" fontId="12" fillId="77" borderId="27" xfId="0" applyNumberFormat="1" applyFont="1" applyFill="1" applyBorder="1" applyAlignment="1" applyProtection="1">
      <alignment horizontal="left" vertical="top" wrapText="1"/>
      <protection/>
    </xf>
    <xf numFmtId="184" fontId="0" fillId="77" borderId="11" xfId="0" applyNumberFormat="1" applyFont="1" applyFill="1" applyBorder="1" applyAlignment="1" applyProtection="1">
      <alignment/>
      <protection/>
    </xf>
    <xf numFmtId="0" fontId="0" fillId="77" borderId="27" xfId="0" applyNumberFormat="1" applyFont="1" applyFill="1" applyBorder="1" applyAlignment="1" applyProtection="1">
      <alignment horizontal="left" vertical="top" wrapText="1"/>
      <protection/>
    </xf>
    <xf numFmtId="184" fontId="11" fillId="77" borderId="0" xfId="0" applyNumberFormat="1" applyFont="1" applyFill="1" applyAlignment="1">
      <alignment/>
    </xf>
    <xf numFmtId="184" fontId="0" fillId="77" borderId="33" xfId="0" applyNumberFormat="1" applyFont="1" applyFill="1" applyBorder="1" applyAlignment="1" applyProtection="1">
      <alignment/>
      <protection/>
    </xf>
    <xf numFmtId="184" fontId="11" fillId="77" borderId="8" xfId="0" applyNumberFormat="1" applyFont="1" applyFill="1" applyBorder="1" applyAlignment="1">
      <alignment/>
    </xf>
    <xf numFmtId="184" fontId="0" fillId="77" borderId="37" xfId="0" applyNumberFormat="1" applyFont="1" applyFill="1" applyBorder="1" applyAlignment="1" applyProtection="1">
      <alignment/>
      <protection/>
    </xf>
    <xf numFmtId="0" fontId="0" fillId="77" borderId="27" xfId="0" applyNumberFormat="1" applyFont="1" applyFill="1" applyBorder="1" applyAlignment="1" applyProtection="1">
      <alignment horizontal="left" vertical="top" wrapText="1"/>
      <protection/>
    </xf>
    <xf numFmtId="184" fontId="12" fillId="77" borderId="31" xfId="0" applyNumberFormat="1" applyFont="1" applyFill="1" applyBorder="1" applyAlignment="1" applyProtection="1">
      <alignment horizontal="right"/>
      <protection/>
    </xf>
    <xf numFmtId="184" fontId="0" fillId="77" borderId="8" xfId="528" applyNumberFormat="1" applyFont="1" applyFill="1" applyBorder="1" applyAlignment="1" applyProtection="1">
      <alignment horizontal="right"/>
      <protection/>
    </xf>
    <xf numFmtId="184" fontId="0" fillId="77" borderId="0" xfId="0" applyNumberFormat="1" applyFill="1" applyBorder="1" applyAlignment="1">
      <alignment vertical="center"/>
    </xf>
    <xf numFmtId="0" fontId="0" fillId="77" borderId="26" xfId="0" applyNumberFormat="1" applyFill="1" applyBorder="1" applyAlignment="1" applyProtection="1">
      <alignment horizontal="left" vertical="top" wrapText="1"/>
      <protection/>
    </xf>
    <xf numFmtId="0" fontId="0" fillId="77" borderId="26" xfId="0" applyNumberFormat="1" applyFont="1" applyFill="1" applyBorder="1" applyAlignment="1" applyProtection="1">
      <alignment wrapText="1"/>
      <protection/>
    </xf>
    <xf numFmtId="0" fontId="12" fillId="77" borderId="27" xfId="528" applyNumberFormat="1" applyFont="1" applyFill="1" applyBorder="1" applyAlignment="1" applyProtection="1">
      <alignment horizontal="left" vertical="top" wrapText="1"/>
      <protection/>
    </xf>
    <xf numFmtId="219" fontId="12" fillId="77" borderId="11" xfId="0" applyNumberFormat="1" applyFont="1" applyFill="1" applyBorder="1" applyAlignment="1" applyProtection="1">
      <alignment/>
      <protection/>
    </xf>
    <xf numFmtId="192" fontId="12" fillId="77" borderId="8" xfId="528" applyNumberFormat="1" applyFont="1" applyFill="1" applyBorder="1" applyAlignment="1">
      <alignment horizontal="right"/>
      <protection/>
    </xf>
    <xf numFmtId="0" fontId="0" fillId="77" borderId="26" xfId="0" applyNumberFormat="1" applyFont="1" applyFill="1" applyBorder="1" applyAlignment="1" applyProtection="1">
      <alignment horizontal="left" vertical="top" wrapText="1"/>
      <protection/>
    </xf>
    <xf numFmtId="219" fontId="0" fillId="77" borderId="11" xfId="0" applyNumberFormat="1" applyFont="1" applyFill="1" applyBorder="1" applyAlignment="1" applyProtection="1">
      <alignment/>
      <protection/>
    </xf>
    <xf numFmtId="192" fontId="0" fillId="77" borderId="8" xfId="528" applyNumberFormat="1" applyFont="1" applyFill="1" applyBorder="1" applyAlignment="1">
      <alignment horizontal="right"/>
      <protection/>
    </xf>
    <xf numFmtId="184" fontId="12" fillId="77" borderId="8" xfId="0" applyNumberFormat="1" applyFont="1" applyFill="1" applyBorder="1" applyAlignment="1">
      <alignment vertical="center"/>
    </xf>
    <xf numFmtId="0" fontId="0" fillId="77" borderId="0" xfId="0" applyFill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2" fillId="0" borderId="0" xfId="0" applyFont="1" applyFill="1" applyAlignment="1">
      <alignment horizontal="center" vertical="center"/>
    </xf>
    <xf numFmtId="0" fontId="82" fillId="2" borderId="0" xfId="540" applyFont="1" applyFill="1" applyAlignment="1">
      <alignment horizontal="center" vertical="center"/>
      <protection/>
    </xf>
    <xf numFmtId="0" fontId="82" fillId="77" borderId="0" xfId="0" applyFont="1" applyFill="1" applyAlignment="1">
      <alignment horizontal="center"/>
    </xf>
    <xf numFmtId="0" fontId="12" fillId="77" borderId="8" xfId="0" applyNumberFormat="1" applyFont="1" applyFill="1" applyBorder="1" applyAlignment="1" applyProtection="1">
      <alignment horizontal="center" vertical="center" wrapText="1"/>
      <protection/>
    </xf>
    <xf numFmtId="0" fontId="12" fillId="77" borderId="8" xfId="0" applyNumberFormat="1" applyFont="1" applyFill="1" applyBorder="1" applyAlignment="1" applyProtection="1">
      <alignment horizontal="center" vertical="center" wrapText="1"/>
      <protection/>
    </xf>
    <xf numFmtId="0" fontId="82" fillId="77" borderId="0" xfId="0" applyFont="1" applyFill="1" applyAlignment="1">
      <alignment horizontal="center" vertical="center"/>
    </xf>
    <xf numFmtId="0" fontId="106" fillId="77" borderId="25" xfId="0" applyNumberFormat="1" applyFont="1" applyFill="1" applyBorder="1" applyAlignment="1" applyProtection="1">
      <alignment horizontal="center" vertical="center" wrapText="1"/>
      <protection/>
    </xf>
    <xf numFmtId="0" fontId="106" fillId="77" borderId="36" xfId="0" applyNumberFormat="1" applyFont="1" applyFill="1" applyBorder="1" applyAlignment="1" applyProtection="1">
      <alignment horizontal="center" vertical="center" wrapText="1"/>
      <protection/>
    </xf>
    <xf numFmtId="184" fontId="106" fillId="77" borderId="25" xfId="0" applyNumberFormat="1" applyFont="1" applyFill="1" applyBorder="1" applyAlignment="1" applyProtection="1">
      <alignment horizontal="center" vertical="center" wrapText="1"/>
      <protection/>
    </xf>
    <xf numFmtId="184" fontId="106" fillId="77" borderId="36" xfId="0" applyNumberFormat="1" applyFont="1" applyFill="1" applyBorder="1" applyAlignment="1" applyProtection="1">
      <alignment horizontal="center" vertical="center" wrapText="1"/>
      <protection/>
    </xf>
    <xf numFmtId="0" fontId="106" fillId="77" borderId="8" xfId="0" applyNumberFormat="1" applyFont="1" applyFill="1" applyBorder="1" applyAlignment="1" applyProtection="1">
      <alignment horizontal="center" vertical="center" wrapText="1"/>
      <protection/>
    </xf>
    <xf numFmtId="0" fontId="82" fillId="2" borderId="0" xfId="528" applyFont="1" applyFill="1" applyAlignment="1">
      <alignment horizontal="center" vertical="center"/>
      <protection/>
    </xf>
    <xf numFmtId="0" fontId="12" fillId="0" borderId="25" xfId="555" applyNumberFormat="1" applyFont="1" applyFill="1" applyBorder="1" applyAlignment="1" applyProtection="1">
      <alignment horizontal="center" vertical="center" shrinkToFit="1"/>
      <protection/>
    </xf>
    <xf numFmtId="0" fontId="12" fillId="0" borderId="36" xfId="555" applyNumberFormat="1" applyFont="1" applyFill="1" applyBorder="1" applyAlignment="1" applyProtection="1">
      <alignment horizontal="center" vertical="center" shrinkToFit="1"/>
      <protection/>
    </xf>
    <xf numFmtId="0" fontId="12" fillId="0" borderId="27" xfId="555" applyNumberFormat="1" applyFont="1" applyFill="1" applyBorder="1" applyAlignment="1" applyProtection="1">
      <alignment horizontal="center" vertical="center" shrinkToFit="1"/>
      <protection/>
    </xf>
    <xf numFmtId="0" fontId="12" fillId="0" borderId="4" xfId="555" applyNumberFormat="1" applyFont="1" applyFill="1" applyBorder="1" applyAlignment="1" applyProtection="1">
      <alignment horizontal="center" vertical="center" shrinkToFit="1"/>
      <protection/>
    </xf>
    <xf numFmtId="0" fontId="12" fillId="0" borderId="31" xfId="555" applyNumberFormat="1" applyFont="1" applyFill="1" applyBorder="1" applyAlignment="1" applyProtection="1">
      <alignment horizontal="center" vertical="center" shrinkToFit="1"/>
      <protection/>
    </xf>
    <xf numFmtId="0" fontId="83" fillId="0" borderId="25" xfId="555" applyNumberFormat="1" applyFont="1" applyFill="1" applyBorder="1" applyAlignment="1" applyProtection="1">
      <alignment horizontal="center" vertical="center" wrapText="1" shrinkToFit="1"/>
      <protection/>
    </xf>
    <xf numFmtId="0" fontId="83" fillId="0" borderId="36" xfId="555" applyNumberFormat="1" applyFont="1" applyFill="1" applyBorder="1" applyAlignment="1" applyProtection="1">
      <alignment horizontal="center" vertical="center" wrapText="1" shrinkToFit="1"/>
      <protection/>
    </xf>
    <xf numFmtId="0" fontId="7" fillId="0" borderId="25" xfId="555" applyFont="1" applyFill="1" applyBorder="1" applyAlignment="1">
      <alignment horizontal="center" vertical="center" shrinkToFit="1"/>
      <protection/>
    </xf>
    <xf numFmtId="0" fontId="77" fillId="0" borderId="36" xfId="555" applyFont="1" applyFill="1" applyBorder="1" applyAlignment="1">
      <alignment horizontal="center" vertical="center" shrinkToFit="1"/>
      <protection/>
    </xf>
    <xf numFmtId="0" fontId="5" fillId="0" borderId="0" xfId="561" applyFont="1" applyFill="1" applyAlignment="1">
      <alignment horizontal="center" vertical="center" shrinkToFit="1"/>
      <protection/>
    </xf>
    <xf numFmtId="0" fontId="5" fillId="0" borderId="0" xfId="561" applyFont="1" applyFill="1" applyAlignment="1">
      <alignment horizontal="center" vertical="center" shrinkToFit="1"/>
      <protection/>
    </xf>
    <xf numFmtId="0" fontId="12" fillId="2" borderId="27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82" fillId="0" borderId="0" xfId="555" applyFont="1" applyAlignment="1">
      <alignment horizontal="center" vertical="center"/>
      <protection/>
    </xf>
    <xf numFmtId="0" fontId="12" fillId="2" borderId="8" xfId="0" applyFont="1" applyFill="1" applyBorder="1" applyAlignment="1">
      <alignment horizontal="center" vertical="center"/>
    </xf>
    <xf numFmtId="203" fontId="5" fillId="2" borderId="0" xfId="998" applyNumberFormat="1" applyFont="1" applyFill="1" applyBorder="1" applyAlignment="1">
      <alignment horizontal="center" vertical="center"/>
    </xf>
    <xf numFmtId="203" fontId="5" fillId="2" borderId="0" xfId="99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2" borderId="0" xfId="543" applyFont="1" applyFill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81" fillId="0" borderId="0" xfId="0" applyFont="1" applyAlignment="1">
      <alignment horizontal="center" vertical="center"/>
    </xf>
    <xf numFmtId="0" fontId="80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5" fillId="0" borderId="0" xfId="634" applyFont="1" applyAlignment="1">
      <alignment horizontal="center" vertical="top"/>
      <protection/>
    </xf>
    <xf numFmtId="0" fontId="24" fillId="0" borderId="0" xfId="586" applyFont="1" applyAlignment="1">
      <alignment horizontal="center"/>
      <protection/>
    </xf>
    <xf numFmtId="0" fontId="5" fillId="0" borderId="0" xfId="634" applyFont="1" applyAlignment="1">
      <alignment horizontal="center" vertical="center"/>
      <protection/>
    </xf>
  </cellXfs>
  <cellStyles count="106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1 3" xfId="25"/>
    <cellStyle name="20% - 强调文字颜色 1 4" xfId="26"/>
    <cellStyle name="20% - 强调文字颜色 1 5" xfId="27"/>
    <cellStyle name="20% - 强调文字颜色 2" xfId="28"/>
    <cellStyle name="20% - 强调文字颜色 2 2" xfId="29"/>
    <cellStyle name="20% - 强调文字颜色 2 3" xfId="30"/>
    <cellStyle name="20% - 强调文字颜色 2 4" xfId="31"/>
    <cellStyle name="20% - 强调文字颜色 2 5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3 5" xfId="37"/>
    <cellStyle name="20% - 强调文字颜色 4" xfId="38"/>
    <cellStyle name="20% - 强调文字颜色 4 2" xfId="39"/>
    <cellStyle name="20% - 强调文字颜色 4 3" xfId="40"/>
    <cellStyle name="20% - 强调文字颜色 4 4" xfId="41"/>
    <cellStyle name="20% - 强调文字颜色 4 5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6" xfId="48"/>
    <cellStyle name="20% - 强调文字颜色 6 2" xfId="49"/>
    <cellStyle name="20% - 强调文字颜色 6 3" xfId="50"/>
    <cellStyle name="20% - 强调文字颜色 6 4" xfId="51"/>
    <cellStyle name="20% - 强调文字颜色 6 5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强调文字颜色 1" xfId="59"/>
    <cellStyle name="40% - 强调文字颜色 1 2" xfId="60"/>
    <cellStyle name="40% - 强调文字颜色 1 3" xfId="61"/>
    <cellStyle name="40% - 强调文字颜色 1 4" xfId="62"/>
    <cellStyle name="40% - 强调文字颜色 1 5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3" xfId="69"/>
    <cellStyle name="40% - 强调文字颜色 3 2" xfId="70"/>
    <cellStyle name="40% - 强调文字颜色 3 3" xfId="71"/>
    <cellStyle name="40% - 强调文字颜色 3 4" xfId="72"/>
    <cellStyle name="40% - 强调文字颜色 3 5" xfId="73"/>
    <cellStyle name="40% - 强调文字颜色 4" xfId="74"/>
    <cellStyle name="40% - 强调文字颜色 4 2" xfId="75"/>
    <cellStyle name="40% - 强调文字颜色 4 3" xfId="76"/>
    <cellStyle name="40% - 强调文字颜色 4 4" xfId="77"/>
    <cellStyle name="40% - 强调文字颜色 4 5" xfId="78"/>
    <cellStyle name="40% - 强调文字颜色 5" xfId="79"/>
    <cellStyle name="40% - 强调文字颜色 5 2" xfId="80"/>
    <cellStyle name="40% - 强调文字颜色 5 3" xfId="81"/>
    <cellStyle name="40% - 强调文字颜色 5 4" xfId="82"/>
    <cellStyle name="40% - 强调文字颜色 5 5" xfId="83"/>
    <cellStyle name="40% - 强调文字颜色 6" xfId="84"/>
    <cellStyle name="40% - 强调文字颜色 6 2" xfId="85"/>
    <cellStyle name="40% - 强调文字颜色 6 3" xfId="86"/>
    <cellStyle name="40% - 强调文字颜色 6 4" xfId="87"/>
    <cellStyle name="40% - 强调文字颜色 6 5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" xfId="95"/>
    <cellStyle name="60% - 强调文字颜色 1 2" xfId="96"/>
    <cellStyle name="60% - 强调文字颜色 1 3" xfId="97"/>
    <cellStyle name="60% - 强调文字颜色 1 4" xfId="98"/>
    <cellStyle name="60% - 强调文字颜色 1 5" xfId="99"/>
    <cellStyle name="60% - 强调文字颜色 2" xfId="100"/>
    <cellStyle name="60% - 强调文字颜色 2 2" xfId="101"/>
    <cellStyle name="60% - 强调文字颜色 2 3" xfId="102"/>
    <cellStyle name="60% - 强调文字颜色 2 4" xfId="103"/>
    <cellStyle name="60% - 强调文字颜色 2 5" xfId="104"/>
    <cellStyle name="60% - 强调文字颜色 3" xfId="105"/>
    <cellStyle name="60% - 强调文字颜色 3 2" xfId="106"/>
    <cellStyle name="60% - 强调文字颜色 3 3" xfId="107"/>
    <cellStyle name="60% - 强调文字颜色 3 4" xfId="108"/>
    <cellStyle name="60% - 强调文字颜色 3 5" xfId="109"/>
    <cellStyle name="60% - 强调文字颜色 4" xfId="110"/>
    <cellStyle name="60% - 强调文字颜色 4 2" xfId="111"/>
    <cellStyle name="60% - 强调文字颜色 4 3" xfId="112"/>
    <cellStyle name="60% - 强调文字颜色 4 4" xfId="113"/>
    <cellStyle name="60% - 强调文字颜色 4 5" xfId="114"/>
    <cellStyle name="60% - 强调文字颜色 5" xfId="115"/>
    <cellStyle name="60% - 强调文字颜色 5 2" xfId="116"/>
    <cellStyle name="60% - 强调文字颜色 5 3" xfId="117"/>
    <cellStyle name="60% - 强调文字颜色 5 4" xfId="118"/>
    <cellStyle name="60% - 强调文字颜色 5 5" xfId="119"/>
    <cellStyle name="60% - 强调文字颜色 6" xfId="120"/>
    <cellStyle name="60% - 强调文字颜色 6 2" xfId="121"/>
    <cellStyle name="60% - 强调文字颜色 6 3" xfId="122"/>
    <cellStyle name="60% - 强调文字颜色 6 4" xfId="123"/>
    <cellStyle name="60% - 强调文字颜色 6 5" xfId="124"/>
    <cellStyle name="Accent1" xfId="125"/>
    <cellStyle name="Accent1 - 20%" xfId="126"/>
    <cellStyle name="Accent1 - 40%" xfId="127"/>
    <cellStyle name="Accent1 - 60%" xfId="128"/>
    <cellStyle name="Accent1_2006年33甘肃" xfId="129"/>
    <cellStyle name="Accent2" xfId="130"/>
    <cellStyle name="Accent2 - 20%" xfId="131"/>
    <cellStyle name="Accent2 - 40%" xfId="132"/>
    <cellStyle name="Accent2 - 60%" xfId="133"/>
    <cellStyle name="Accent2_2006年33甘肃" xfId="134"/>
    <cellStyle name="Accent3" xfId="135"/>
    <cellStyle name="Accent3 - 20%" xfId="136"/>
    <cellStyle name="Accent3 - 40%" xfId="137"/>
    <cellStyle name="Accent3 - 60%" xfId="138"/>
    <cellStyle name="Accent3_2006年33甘肃" xfId="139"/>
    <cellStyle name="Accent4" xfId="140"/>
    <cellStyle name="Accent4 - 20%" xfId="141"/>
    <cellStyle name="Accent4 - 40%" xfId="142"/>
    <cellStyle name="Accent4 - 60%" xfId="143"/>
    <cellStyle name="Accent5" xfId="144"/>
    <cellStyle name="Accent5 - 20%" xfId="145"/>
    <cellStyle name="Accent5 - 40%" xfId="146"/>
    <cellStyle name="Accent5 - 60%" xfId="147"/>
    <cellStyle name="Accent6" xfId="148"/>
    <cellStyle name="Accent6 - 20%" xfId="149"/>
    <cellStyle name="Accent6 - 40%" xfId="150"/>
    <cellStyle name="Accent6 - 60%" xfId="151"/>
    <cellStyle name="Accent6_2006年33甘肃" xfId="152"/>
    <cellStyle name="Bad" xfId="153"/>
    <cellStyle name="Calc Currency (0)" xfId="154"/>
    <cellStyle name="Calculation" xfId="155"/>
    <cellStyle name="Check Cell" xfId="156"/>
    <cellStyle name="ColLevel_0" xfId="157"/>
    <cellStyle name="Comma [0]" xfId="158"/>
    <cellStyle name="comma zerodec" xfId="159"/>
    <cellStyle name="Comma_1995" xfId="160"/>
    <cellStyle name="Currency [0]" xfId="161"/>
    <cellStyle name="Currency_1995" xfId="162"/>
    <cellStyle name="Currency1" xfId="163"/>
    <cellStyle name="Date" xfId="164"/>
    <cellStyle name="Dollar (zero dec)" xfId="165"/>
    <cellStyle name="Explanatory Text" xfId="166"/>
    <cellStyle name="Fixed" xfId="167"/>
    <cellStyle name="Good" xfId="168"/>
    <cellStyle name="Grey" xfId="169"/>
    <cellStyle name="Header1" xfId="170"/>
    <cellStyle name="Header2" xfId="171"/>
    <cellStyle name="Heading 1" xfId="172"/>
    <cellStyle name="Heading 2" xfId="173"/>
    <cellStyle name="Heading 3" xfId="174"/>
    <cellStyle name="Heading 4" xfId="175"/>
    <cellStyle name="HEADING1" xfId="176"/>
    <cellStyle name="HEADING2" xfId="177"/>
    <cellStyle name="Input" xfId="178"/>
    <cellStyle name="Input [yellow]" xfId="179"/>
    <cellStyle name="Input_20121229 提供执行转移支付" xfId="180"/>
    <cellStyle name="Linked Cell" xfId="181"/>
    <cellStyle name="Neutral" xfId="182"/>
    <cellStyle name="no dec" xfId="183"/>
    <cellStyle name="Norma,_laroux_4_营业在建 (2)_E21" xfId="184"/>
    <cellStyle name="Normal - Style1" xfId="185"/>
    <cellStyle name="Normal_#10-Headcount" xfId="186"/>
    <cellStyle name="Note" xfId="187"/>
    <cellStyle name="Output" xfId="188"/>
    <cellStyle name="Percent [2]" xfId="189"/>
    <cellStyle name="Percent_laroux" xfId="190"/>
    <cellStyle name="RowLevel_0" xfId="191"/>
    <cellStyle name="Title" xfId="192"/>
    <cellStyle name="Total" xfId="193"/>
    <cellStyle name="Warning Text" xfId="194"/>
    <cellStyle name="Percent" xfId="195"/>
    <cellStyle name="百分比 2" xfId="196"/>
    <cellStyle name="百分比 2 2" xfId="197"/>
    <cellStyle name="百分比 3" xfId="198"/>
    <cellStyle name="百分比 4" xfId="199"/>
    <cellStyle name="百分比 5" xfId="200"/>
    <cellStyle name="标题" xfId="201"/>
    <cellStyle name="标题 1" xfId="202"/>
    <cellStyle name="标题 1 2" xfId="203"/>
    <cellStyle name="标题 1 3" xfId="204"/>
    <cellStyle name="标题 1 4" xfId="205"/>
    <cellStyle name="标题 1 5" xfId="206"/>
    <cellStyle name="标题 2" xfId="207"/>
    <cellStyle name="标题 2 2" xfId="208"/>
    <cellStyle name="标题 2 3" xfId="209"/>
    <cellStyle name="标题 2 4" xfId="210"/>
    <cellStyle name="标题 2 5" xfId="211"/>
    <cellStyle name="标题 3" xfId="212"/>
    <cellStyle name="标题 3 2" xfId="213"/>
    <cellStyle name="标题 3 3" xfId="214"/>
    <cellStyle name="标题 3 4" xfId="215"/>
    <cellStyle name="标题 3 5" xfId="216"/>
    <cellStyle name="标题 4" xfId="217"/>
    <cellStyle name="标题 4 2" xfId="218"/>
    <cellStyle name="标题 4 3" xfId="219"/>
    <cellStyle name="标题 4 4" xfId="220"/>
    <cellStyle name="标题 4 5" xfId="221"/>
    <cellStyle name="标题 5" xfId="222"/>
    <cellStyle name="标题 6" xfId="223"/>
    <cellStyle name="标题 7" xfId="224"/>
    <cellStyle name="标题 8" xfId="225"/>
    <cellStyle name="表标题" xfId="226"/>
    <cellStyle name="差" xfId="227"/>
    <cellStyle name="差 2" xfId="228"/>
    <cellStyle name="差 3" xfId="229"/>
    <cellStyle name="差 4" xfId="230"/>
    <cellStyle name="差 5" xfId="231"/>
    <cellStyle name="差_00省级(打印)" xfId="232"/>
    <cellStyle name="差_03昭通" xfId="233"/>
    <cellStyle name="差_0502通海县" xfId="234"/>
    <cellStyle name="差_05潍坊" xfId="235"/>
    <cellStyle name="差_0605石屏县" xfId="236"/>
    <cellStyle name="差_0605石屏县_财力性转移支付2010年预算参考数" xfId="237"/>
    <cellStyle name="差_07临沂" xfId="238"/>
    <cellStyle name="差_09黑龙江" xfId="239"/>
    <cellStyle name="差_09黑龙江_财力性转移支付2010年预算参考数" xfId="240"/>
    <cellStyle name="差_1" xfId="241"/>
    <cellStyle name="差_1_财力性转移支付2010年预算参考数" xfId="242"/>
    <cellStyle name="差_1110洱源县" xfId="243"/>
    <cellStyle name="差_1110洱源县_财力性转移支付2010年预算参考数" xfId="244"/>
    <cellStyle name="差_11大理" xfId="245"/>
    <cellStyle name="差_11大理_财力性转移支付2010年预算参考数" xfId="246"/>
    <cellStyle name="差_12滨州" xfId="247"/>
    <cellStyle name="差_12滨州_财力性转移支付2010年预算参考数" xfId="248"/>
    <cellStyle name="差_14安徽" xfId="249"/>
    <cellStyle name="差_14安徽_财力性转移支付2010年预算参考数" xfId="250"/>
    <cellStyle name="差_2" xfId="251"/>
    <cellStyle name="差_2_财力性转移支付2010年预算参考数" xfId="252"/>
    <cellStyle name="差_2006年22湖南" xfId="253"/>
    <cellStyle name="差_2006年22湖南_财力性转移支付2010年预算参考数" xfId="254"/>
    <cellStyle name="差_2006年27重庆" xfId="255"/>
    <cellStyle name="差_2006年27重庆_财力性转移支付2010年预算参考数" xfId="256"/>
    <cellStyle name="差_2006年28四川" xfId="257"/>
    <cellStyle name="差_2006年28四川_财力性转移支付2010年预算参考数" xfId="258"/>
    <cellStyle name="差_2006年30云南" xfId="259"/>
    <cellStyle name="差_2006年33甘肃" xfId="260"/>
    <cellStyle name="差_2006年34青海" xfId="261"/>
    <cellStyle name="差_2006年34青海_财力性转移支付2010年预算参考数" xfId="262"/>
    <cellStyle name="差_2006年全省财力计算表（中央、决算）" xfId="263"/>
    <cellStyle name="差_2006年水利统计指标统计表" xfId="264"/>
    <cellStyle name="差_2006年水利统计指标统计表_财力性转移支付2010年预算参考数" xfId="265"/>
    <cellStyle name="差_2007年收支情况及2008年收支预计表(汇总表)" xfId="266"/>
    <cellStyle name="差_2007年收支情况及2008年收支预计表(汇总表)_财力性转移支付2010年预算参考数" xfId="267"/>
    <cellStyle name="差_2007年一般预算支出剔除" xfId="268"/>
    <cellStyle name="差_2007年一般预算支出剔除_财力性转移支付2010年预算参考数" xfId="269"/>
    <cellStyle name="差_2007一般预算支出口径剔除表" xfId="270"/>
    <cellStyle name="差_2007一般预算支出口径剔除表_财力性转移支付2010年预算参考数" xfId="271"/>
    <cellStyle name="差_2008计算资料（8月5）" xfId="272"/>
    <cellStyle name="差_2008年全省汇总收支计算表" xfId="273"/>
    <cellStyle name="差_2008年全省汇总收支计算表_财力性转移支付2010年预算参考数" xfId="274"/>
    <cellStyle name="差_2008年一般预算支出预计" xfId="275"/>
    <cellStyle name="差_2008年预计支出与2007年对比" xfId="276"/>
    <cellStyle name="差_2008年支出核定" xfId="277"/>
    <cellStyle name="差_2008年支出调整" xfId="278"/>
    <cellStyle name="差_2008年支出调整_财力性转移支付2010年预算参考数" xfId="279"/>
    <cellStyle name="差_2015年社会保险基金预算草案表样（报人大）" xfId="280"/>
    <cellStyle name="差_2016年科目0114" xfId="281"/>
    <cellStyle name="差_2016人代会附表（2015-9-11）（姚局）-财经委" xfId="282"/>
    <cellStyle name="差_20河南" xfId="283"/>
    <cellStyle name="差_20河南_财力性转移支付2010年预算参考数" xfId="284"/>
    <cellStyle name="差_22湖南" xfId="285"/>
    <cellStyle name="差_22湖南_财力性转移支付2010年预算参考数" xfId="286"/>
    <cellStyle name="差_27重庆" xfId="287"/>
    <cellStyle name="差_27重庆_财力性转移支付2010年预算参考数" xfId="288"/>
    <cellStyle name="差_28四川" xfId="289"/>
    <cellStyle name="差_28四川_财力性转移支付2010年预算参考数" xfId="290"/>
    <cellStyle name="差_30云南" xfId="291"/>
    <cellStyle name="差_30云南_1" xfId="292"/>
    <cellStyle name="差_30云南_1_财力性转移支付2010年预算参考数" xfId="293"/>
    <cellStyle name="差_33甘肃" xfId="294"/>
    <cellStyle name="差_34青海" xfId="295"/>
    <cellStyle name="差_34青海_1" xfId="296"/>
    <cellStyle name="差_34青海_1_财力性转移支付2010年预算参考数" xfId="297"/>
    <cellStyle name="差_34青海_财力性转移支付2010年预算参考数" xfId="298"/>
    <cellStyle name="差_5.中央部门决算（草案)-1" xfId="299"/>
    <cellStyle name="差_530623_2006年县级财政报表附表" xfId="300"/>
    <cellStyle name="差_530629_2006年县级财政报表附表" xfId="301"/>
    <cellStyle name="差_5334_2006年迪庆县级财政报表附表" xfId="302"/>
    <cellStyle name="差_Book1" xfId="303"/>
    <cellStyle name="差_Book1_财力性转移支付2010年预算参考数" xfId="304"/>
    <cellStyle name="差_Book2" xfId="305"/>
    <cellStyle name="差_Book2_财力性转移支付2010年预算参考数" xfId="306"/>
    <cellStyle name="差_gdp" xfId="307"/>
    <cellStyle name="差_M01-2(州市补助收入)" xfId="308"/>
    <cellStyle name="差_安徽 缺口县区测算(地方填报)1" xfId="309"/>
    <cellStyle name="差_安徽 缺口县区测算(地方填报)1_财力性转移支付2010年预算参考数" xfId="310"/>
    <cellStyle name="差_宝坻区" xfId="311"/>
    <cellStyle name="差_报表" xfId="312"/>
    <cellStyle name="差_表二--电子版" xfId="313"/>
    <cellStyle name="差_不含人员经费系数" xfId="314"/>
    <cellStyle name="差_不含人员经费系数_财力性转移支付2010年预算参考数" xfId="315"/>
    <cellStyle name="差_财政供养人员" xfId="316"/>
    <cellStyle name="差_财政供养人员_财力性转移支付2010年预算参考数" xfId="317"/>
    <cellStyle name="差_测算结果" xfId="318"/>
    <cellStyle name="差_测算结果_财力性转移支付2010年预算参考数" xfId="319"/>
    <cellStyle name="差_测算结果汇总" xfId="320"/>
    <cellStyle name="差_测算结果汇总_财力性转移支付2010年预算参考数" xfId="321"/>
    <cellStyle name="差_成本差异系数" xfId="322"/>
    <cellStyle name="差_成本差异系数（含人口规模）" xfId="323"/>
    <cellStyle name="差_成本差异系数（含人口规模）_财力性转移支付2010年预算参考数" xfId="324"/>
    <cellStyle name="差_成本差异系数_财力性转移支付2010年预算参考数" xfId="325"/>
    <cellStyle name="差_城建部门" xfId="326"/>
    <cellStyle name="差_出版署2010年度中央部门决算草案" xfId="327"/>
    <cellStyle name="差_第五部分(才淼、饶永宏）" xfId="328"/>
    <cellStyle name="差_第一部分：综合全" xfId="329"/>
    <cellStyle name="差_分析缺口率" xfId="330"/>
    <cellStyle name="差_分析缺口率_财力性转移支付2010年预算参考数" xfId="331"/>
    <cellStyle name="差_分县成本差异系数" xfId="332"/>
    <cellStyle name="差_分县成本差异系数_不含人员经费系数" xfId="333"/>
    <cellStyle name="差_分县成本差异系数_不含人员经费系数_财力性转移支付2010年预算参考数" xfId="334"/>
    <cellStyle name="差_分县成本差异系数_财力性转移支付2010年预算参考数" xfId="335"/>
    <cellStyle name="差_分县成本差异系数_民生政策最低支出需求" xfId="336"/>
    <cellStyle name="差_分县成本差异系数_民生政策最低支出需求_财力性转移支付2010年预算参考数" xfId="337"/>
    <cellStyle name="差_附表" xfId="338"/>
    <cellStyle name="差_附表_财力性转移支付2010年预算参考数" xfId="339"/>
    <cellStyle name="差_行政(燃修费)" xfId="340"/>
    <cellStyle name="差_行政(燃修费)_不含人员经费系数" xfId="341"/>
    <cellStyle name="差_行政(燃修费)_不含人员经费系数_财力性转移支付2010年预算参考数" xfId="342"/>
    <cellStyle name="差_行政(燃修费)_财力性转移支付2010年预算参考数" xfId="343"/>
    <cellStyle name="差_行政(燃修费)_民生政策最低支出需求" xfId="344"/>
    <cellStyle name="差_行政(燃修费)_民生政策最低支出需求_财力性转移支付2010年预算参考数" xfId="345"/>
    <cellStyle name="差_行政(燃修费)_县市旗测算-新科目（含人口规模效应）" xfId="346"/>
    <cellStyle name="差_行政(燃修费)_县市旗测算-新科目（含人口规模效应）_财力性转移支付2010年预算参考数" xfId="347"/>
    <cellStyle name="差_行政（人员）" xfId="348"/>
    <cellStyle name="差_行政（人员）_不含人员经费系数" xfId="349"/>
    <cellStyle name="差_行政（人员）_不含人员经费系数_财力性转移支付2010年预算参考数" xfId="350"/>
    <cellStyle name="差_行政（人员）_财力性转移支付2010年预算参考数" xfId="351"/>
    <cellStyle name="差_行政（人员）_民生政策最低支出需求" xfId="352"/>
    <cellStyle name="差_行政（人员）_民生政策最低支出需求_财力性转移支付2010年预算参考数" xfId="353"/>
    <cellStyle name="差_行政（人员）_县市旗测算-新科目（含人口规模效应）" xfId="354"/>
    <cellStyle name="差_行政（人员）_县市旗测算-新科目（含人口规模效应）_财力性转移支付2010年预算参考数" xfId="355"/>
    <cellStyle name="差_行政公检法测算" xfId="356"/>
    <cellStyle name="差_行政公检法测算_不含人员经费系数" xfId="357"/>
    <cellStyle name="差_行政公检法测算_不含人员经费系数_财力性转移支付2010年预算参考数" xfId="358"/>
    <cellStyle name="差_行政公检法测算_财力性转移支付2010年预算参考数" xfId="359"/>
    <cellStyle name="差_行政公检法测算_民生政策最低支出需求" xfId="360"/>
    <cellStyle name="差_行政公检法测算_民生政策最低支出需求_财力性转移支付2010年预算参考数" xfId="361"/>
    <cellStyle name="差_行政公检法测算_县市旗测算-新科目（含人口规模效应）" xfId="362"/>
    <cellStyle name="差_行政公检法测算_县市旗测算-新科目（含人口规模效应）_财力性转移支付2010年预算参考数" xfId="363"/>
    <cellStyle name="差_河南 缺口县区测算(地方填报)" xfId="364"/>
    <cellStyle name="差_河南 缺口县区测算(地方填报)_财力性转移支付2010年预算参考数" xfId="365"/>
    <cellStyle name="差_河南 缺口县区测算(地方填报白)" xfId="366"/>
    <cellStyle name="差_河南 缺口县区测算(地方填报白)_财力性转移支付2010年预算参考数" xfId="367"/>
    <cellStyle name="差_核定人数对比" xfId="368"/>
    <cellStyle name="差_核定人数对比_财力性转移支付2010年预算参考数" xfId="369"/>
    <cellStyle name="差_核定人数下发表" xfId="370"/>
    <cellStyle name="差_核定人数下发表_财力性转移支付2010年预算参考数" xfId="371"/>
    <cellStyle name="差_汇总" xfId="372"/>
    <cellStyle name="差_汇总_财力性转移支付2010年预算参考数" xfId="373"/>
    <cellStyle name="差_汇总表" xfId="374"/>
    <cellStyle name="差_汇总表_财力性转移支付2010年预算参考数" xfId="375"/>
    <cellStyle name="差_汇总表4" xfId="376"/>
    <cellStyle name="差_汇总表4_财力性转移支付2010年预算参考数" xfId="377"/>
    <cellStyle name="差_汇总表提前告知区县" xfId="378"/>
    <cellStyle name="差_汇总-县级财政报表附表" xfId="379"/>
    <cellStyle name="差_检验表" xfId="380"/>
    <cellStyle name="差_检验表（调整后）" xfId="381"/>
    <cellStyle name="差_教育(按照总人口测算）—20080416" xfId="382"/>
    <cellStyle name="差_教育(按照总人口测算）—20080416_不含人员经费系数" xfId="383"/>
    <cellStyle name="差_教育(按照总人口测算）—20080416_不含人员经费系数_财力性转移支付2010年预算参考数" xfId="384"/>
    <cellStyle name="差_教育(按照总人口测算）—20080416_财力性转移支付2010年预算参考数" xfId="385"/>
    <cellStyle name="差_教育(按照总人口测算）—20080416_民生政策最低支出需求" xfId="386"/>
    <cellStyle name="差_教育(按照总人口测算）—20080416_民生政策最低支出需求_财力性转移支付2010年预算参考数" xfId="387"/>
    <cellStyle name="差_教育(按照总人口测算）—20080416_县市旗测算-新科目（含人口规模效应）" xfId="388"/>
    <cellStyle name="差_教育(按照总人口测算）—20080416_县市旗测算-新科目（含人口规模效应）_财力性转移支付2010年预算参考数" xfId="389"/>
    <cellStyle name="差_丽江汇总" xfId="390"/>
    <cellStyle name="差_民生政策最低支出需求" xfId="391"/>
    <cellStyle name="差_民生政策最低支出需求_财力性转移支付2010年预算参考数" xfId="392"/>
    <cellStyle name="差_农林水和城市维护标准支出20080505－县区合计" xfId="393"/>
    <cellStyle name="差_农林水和城市维护标准支出20080505－县区合计_不含人员经费系数" xfId="394"/>
    <cellStyle name="差_农林水和城市维护标准支出20080505－县区合计_不含人员经费系数_财力性转移支付2010年预算参考数" xfId="395"/>
    <cellStyle name="差_农林水和城市维护标准支出20080505－县区合计_财力性转移支付2010年预算参考数" xfId="396"/>
    <cellStyle name="差_农林水和城市维护标准支出20080505－县区合计_民生政策最低支出需求" xfId="397"/>
    <cellStyle name="差_农林水和城市维护标准支出20080505－县区合计_民生政策最低支出需求_财力性转移支付2010年预算参考数" xfId="398"/>
    <cellStyle name="差_农林水和城市维护标准支出20080505－县区合计_县市旗测算-新科目（含人口规模效应）" xfId="399"/>
    <cellStyle name="差_农林水和城市维护标准支出20080505－县区合计_县市旗测算-新科目（含人口规模效应）_财力性转移支付2010年预算参考数" xfId="400"/>
    <cellStyle name="差_平邑" xfId="401"/>
    <cellStyle name="差_平邑_财力性转移支付2010年预算参考数" xfId="402"/>
    <cellStyle name="差_其他部门(按照总人口测算）—20080416" xfId="403"/>
    <cellStyle name="差_其他部门(按照总人口测算）—20080416_不含人员经费系数" xfId="404"/>
    <cellStyle name="差_其他部门(按照总人口测算）—20080416_不含人员经费系数_财力性转移支付2010年预算参考数" xfId="405"/>
    <cellStyle name="差_其他部门(按照总人口测算）—20080416_财力性转移支付2010年预算参考数" xfId="406"/>
    <cellStyle name="差_其他部门(按照总人口测算）—20080416_民生政策最低支出需求" xfId="407"/>
    <cellStyle name="差_其他部门(按照总人口测算）—20080416_民生政策最低支出需求_财力性转移支付2010年预算参考数" xfId="408"/>
    <cellStyle name="差_其他部门(按照总人口测算）—20080416_县市旗测算-新科目（含人口规模效应）" xfId="409"/>
    <cellStyle name="差_其他部门(按照总人口测算）—20080416_县市旗测算-新科目（含人口规模效应）_财力性转移支付2010年预算参考数" xfId="410"/>
    <cellStyle name="差_青海 缺口县区测算(地方填报)" xfId="411"/>
    <cellStyle name="差_青海 缺口县区测算(地方填报)_财力性转移支付2010年预算参考数" xfId="412"/>
    <cellStyle name="差_全国友协2010年度中央部门决算（草案）" xfId="413"/>
    <cellStyle name="差_缺口县区测算" xfId="414"/>
    <cellStyle name="差_缺口县区测算（11.13）" xfId="415"/>
    <cellStyle name="差_缺口县区测算（11.13）_财力性转移支付2010年预算参考数" xfId="416"/>
    <cellStyle name="差_缺口县区测算(按2007支出增长25%测算)" xfId="417"/>
    <cellStyle name="差_缺口县区测算(按2007支出增长25%测算)_财力性转移支付2010年预算参考数" xfId="418"/>
    <cellStyle name="差_缺口县区测算(按核定人数)" xfId="419"/>
    <cellStyle name="差_缺口县区测算(按核定人数)_财力性转移支付2010年预算参考数" xfId="420"/>
    <cellStyle name="差_缺口县区测算(财政部标准)" xfId="421"/>
    <cellStyle name="差_缺口县区测算(财政部标准)_财力性转移支付2010年预算参考数" xfId="422"/>
    <cellStyle name="差_缺口县区测算_财力性转移支付2010年预算参考数" xfId="423"/>
    <cellStyle name="差_人员工资和公用经费" xfId="424"/>
    <cellStyle name="差_人员工资和公用经费_财力性转移支付2010年预算参考数" xfId="425"/>
    <cellStyle name="差_人员工资和公用经费2" xfId="426"/>
    <cellStyle name="差_人员工资和公用经费2_财力性转移支付2010年预算参考数" xfId="427"/>
    <cellStyle name="差_人员工资和公用经费3" xfId="428"/>
    <cellStyle name="差_人员工资和公用经费3_财力性转移支付2010年预算参考数" xfId="429"/>
    <cellStyle name="差_山东省民生支出标准" xfId="430"/>
    <cellStyle name="差_山东省民生支出标准_财力性转移支付2010年预算参考数" xfId="431"/>
    <cellStyle name="差_社保处下达区县2015年指标（第二批）" xfId="432"/>
    <cellStyle name="差_市辖区测算20080510" xfId="433"/>
    <cellStyle name="差_市辖区测算20080510_不含人员经费系数" xfId="434"/>
    <cellStyle name="差_市辖区测算20080510_不含人员经费系数_财力性转移支付2010年预算参考数" xfId="435"/>
    <cellStyle name="差_市辖区测算20080510_财力性转移支付2010年预算参考数" xfId="436"/>
    <cellStyle name="差_市辖区测算20080510_民生政策最低支出需求" xfId="437"/>
    <cellStyle name="差_市辖区测算20080510_民生政策最低支出需求_财力性转移支付2010年预算参考数" xfId="438"/>
    <cellStyle name="差_市辖区测算20080510_县市旗测算-新科目（含人口规模效应）" xfId="439"/>
    <cellStyle name="差_市辖区测算20080510_县市旗测算-新科目（含人口规模效应）_财力性转移支付2010年预算参考数" xfId="440"/>
    <cellStyle name="差_市辖区测算-新科目（20080626）" xfId="441"/>
    <cellStyle name="差_市辖区测算-新科目（20080626）_不含人员经费系数" xfId="442"/>
    <cellStyle name="差_市辖区测算-新科目（20080626）_不含人员经费系数_财力性转移支付2010年预算参考数" xfId="443"/>
    <cellStyle name="差_市辖区测算-新科目（20080626）_财力性转移支付2010年预算参考数" xfId="444"/>
    <cellStyle name="差_市辖区测算-新科目（20080626）_民生政策最低支出需求" xfId="445"/>
    <cellStyle name="差_市辖区测算-新科目（20080626）_民生政策最低支出需求_财力性转移支付2010年预算参考数" xfId="446"/>
    <cellStyle name="差_市辖区测算-新科目（20080626）_县市旗测算-新科目（含人口规模效应）" xfId="447"/>
    <cellStyle name="差_市辖区测算-新科目（20080626）_县市旗测算-新科目（含人口规模效应）_财力性转移支付2010年预算参考数" xfId="448"/>
    <cellStyle name="差_数据--基础数据--预算组--2015年人代会预算部分--2015.01.20--人代会前第6稿--按姚局意见改--调市级项级明细" xfId="449"/>
    <cellStyle name="差_数据--基础数据--预算组--2015年人代会预算部分--2015.01.20--人代会前第6稿--按姚局意见改--调市级项级明细_政府预算公开模板" xfId="450"/>
    <cellStyle name="差_司法部2010年度中央部门决算（草案）报" xfId="451"/>
    <cellStyle name="差_同德" xfId="452"/>
    <cellStyle name="差_同德_财力性转移支付2010年预算参考数" xfId="453"/>
    <cellStyle name="差_危改资金测算" xfId="454"/>
    <cellStyle name="差_危改资金测算_财力性转移支付2010年预算参考数" xfId="455"/>
    <cellStyle name="差_卫生(按照总人口测算）—20080416" xfId="456"/>
    <cellStyle name="差_卫生(按照总人口测算）—20080416_不含人员经费系数" xfId="457"/>
    <cellStyle name="差_卫生(按照总人口测算）—20080416_不含人员经费系数_财力性转移支付2010年预算参考数" xfId="458"/>
    <cellStyle name="差_卫生(按照总人口测算）—20080416_财力性转移支付2010年预算参考数" xfId="459"/>
    <cellStyle name="差_卫生(按照总人口测算）—20080416_民生政策最低支出需求" xfId="460"/>
    <cellStyle name="差_卫生(按照总人口测算）—20080416_民生政策最低支出需求_财力性转移支付2010年预算参考数" xfId="461"/>
    <cellStyle name="差_卫生(按照总人口测算）—20080416_县市旗测算-新科目（含人口规模效应）" xfId="462"/>
    <cellStyle name="差_卫生(按照总人口测算）—20080416_县市旗测算-新科目（含人口规模效应）_财力性转移支付2010年预算参考数" xfId="463"/>
    <cellStyle name="差_卫生部门" xfId="464"/>
    <cellStyle name="差_卫生部门_财力性转移支付2010年预算参考数" xfId="465"/>
    <cellStyle name="差_文体广播部门" xfId="466"/>
    <cellStyle name="差_文体广播事业(按照总人口测算）—20080416" xfId="467"/>
    <cellStyle name="差_文体广播事业(按照总人口测算）—20080416_不含人员经费系数" xfId="468"/>
    <cellStyle name="差_文体广播事业(按照总人口测算）—20080416_不含人员经费系数_财力性转移支付2010年预算参考数" xfId="469"/>
    <cellStyle name="差_文体广播事业(按照总人口测算）—20080416_财力性转移支付2010年预算参考数" xfId="470"/>
    <cellStyle name="差_文体广播事业(按照总人口测算）—20080416_民生政策最低支出需求" xfId="471"/>
    <cellStyle name="差_文体广播事业(按照总人口测算）—20080416_民生政策最低支出需求_财力性转移支付2010年预算参考数" xfId="472"/>
    <cellStyle name="差_文体广播事业(按照总人口测算）—20080416_县市旗测算-新科目（含人口规模效应）" xfId="473"/>
    <cellStyle name="差_文体广播事业(按照总人口测算）—20080416_县市旗测算-新科目（含人口规模效应）_财力性转移支付2010年预算参考数" xfId="474"/>
    <cellStyle name="差_县区合并测算20080421" xfId="475"/>
    <cellStyle name="差_县区合并测算20080421_不含人员经费系数" xfId="476"/>
    <cellStyle name="差_县区合并测算20080421_不含人员经费系数_财力性转移支付2010年预算参考数" xfId="477"/>
    <cellStyle name="差_县区合并测算20080421_财力性转移支付2010年预算参考数" xfId="478"/>
    <cellStyle name="差_县区合并测算20080421_民生政策最低支出需求" xfId="479"/>
    <cellStyle name="差_县区合并测算20080421_民生政策最低支出需求_财力性转移支付2010年预算参考数" xfId="480"/>
    <cellStyle name="差_县区合并测算20080421_县市旗测算-新科目（含人口规模效应）" xfId="481"/>
    <cellStyle name="差_县区合并测算20080421_县市旗测算-新科目（含人口规模效应）_财力性转移支付2010年预算参考数" xfId="482"/>
    <cellStyle name="差_县区合并测算20080423(按照各省比重）" xfId="483"/>
    <cellStyle name="差_县区合并测算20080423(按照各省比重）_不含人员经费系数" xfId="484"/>
    <cellStyle name="差_县区合并测算20080423(按照各省比重）_不含人员经费系数_财力性转移支付2010年预算参考数" xfId="485"/>
    <cellStyle name="差_县区合并测算20080423(按照各省比重）_财力性转移支付2010年预算参考数" xfId="486"/>
    <cellStyle name="差_县区合并测算20080423(按照各省比重）_民生政策最低支出需求" xfId="487"/>
    <cellStyle name="差_县区合并测算20080423(按照各省比重）_民生政策最低支出需求_财力性转移支付2010年预算参考数" xfId="488"/>
    <cellStyle name="差_县区合并测算20080423(按照各省比重）_县市旗测算-新科目（含人口规模效应）" xfId="489"/>
    <cellStyle name="差_县区合并测算20080423(按照各省比重）_县市旗测算-新科目（含人口规模效应）_财力性转移支付2010年预算参考数" xfId="490"/>
    <cellStyle name="差_县市旗测算20080508" xfId="491"/>
    <cellStyle name="差_县市旗测算20080508_不含人员经费系数" xfId="492"/>
    <cellStyle name="差_县市旗测算20080508_不含人员经费系数_财力性转移支付2010年预算参考数" xfId="493"/>
    <cellStyle name="差_县市旗测算20080508_财力性转移支付2010年预算参考数" xfId="494"/>
    <cellStyle name="差_县市旗测算20080508_民生政策最低支出需求" xfId="495"/>
    <cellStyle name="差_县市旗测算20080508_民生政策最低支出需求_财力性转移支付2010年预算参考数" xfId="496"/>
    <cellStyle name="差_县市旗测算20080508_县市旗测算-新科目（含人口规模效应）" xfId="497"/>
    <cellStyle name="差_县市旗测算20080508_县市旗测算-新科目（含人口规模效应）_财力性转移支付2010年预算参考数" xfId="498"/>
    <cellStyle name="差_县市旗测算-新科目（20080626）" xfId="499"/>
    <cellStyle name="差_县市旗测算-新科目（20080626）_不含人员经费系数" xfId="500"/>
    <cellStyle name="差_县市旗测算-新科目（20080626）_不含人员经费系数_财力性转移支付2010年预算参考数" xfId="501"/>
    <cellStyle name="差_县市旗测算-新科目（20080626）_财力性转移支付2010年预算参考数" xfId="502"/>
    <cellStyle name="差_县市旗测算-新科目（20080626）_民生政策最低支出需求" xfId="503"/>
    <cellStyle name="差_县市旗测算-新科目（20080626）_民生政策最低支出需求_财力性转移支付2010年预算参考数" xfId="504"/>
    <cellStyle name="差_县市旗测算-新科目（20080626）_县市旗测算-新科目（含人口规模效应）" xfId="505"/>
    <cellStyle name="差_县市旗测算-新科目（20080626）_县市旗测算-新科目（含人口规模效应）_财力性转移支付2010年预算参考数" xfId="506"/>
    <cellStyle name="差_县市旗测算-新科目（20080627）" xfId="507"/>
    <cellStyle name="差_县市旗测算-新科目（20080627）_不含人员经费系数" xfId="508"/>
    <cellStyle name="差_县市旗测算-新科目（20080627）_不含人员经费系数_财力性转移支付2010年预算参考数" xfId="509"/>
    <cellStyle name="差_县市旗测算-新科目（20080627）_财力性转移支付2010年预算参考数" xfId="510"/>
    <cellStyle name="差_县市旗测算-新科目（20080627）_民生政策最低支出需求" xfId="511"/>
    <cellStyle name="差_县市旗测算-新科目（20080627）_民生政策最低支出需求_财力性转移支付2010年预算参考数" xfId="512"/>
    <cellStyle name="差_县市旗测算-新科目（20080627）_县市旗测算-新科目（含人口规模效应）" xfId="513"/>
    <cellStyle name="差_县市旗测算-新科目（20080627）_县市旗测算-新科目（含人口规模效应）_财力性转移支付2010年预算参考数" xfId="514"/>
    <cellStyle name="差_一般预算支出口径剔除表" xfId="515"/>
    <cellStyle name="差_一般预算支出口径剔除表_财力性转移支付2010年预算参考数" xfId="516"/>
    <cellStyle name="差_云南 缺口县区测算(地方填报)" xfId="517"/>
    <cellStyle name="差_云南 缺口县区测算(地方填报)_财力性转移支付2010年预算参考数" xfId="518"/>
    <cellStyle name="差_云南省2008年转移支付测算——州市本级考核部分及政策性测算" xfId="519"/>
    <cellStyle name="差_云南省2008年转移支付测算——州市本级考核部分及政策性测算_财力性转移支付2010年预算参考数" xfId="520"/>
    <cellStyle name="差_重点民生支出需求测算表社保（农村低保）081112" xfId="521"/>
    <cellStyle name="差_自行调整差异系数顺序" xfId="522"/>
    <cellStyle name="差_自行调整差异系数顺序_财力性转移支付2010年预算参考数" xfId="523"/>
    <cellStyle name="差_总人口" xfId="524"/>
    <cellStyle name="差_总人口_财力性转移支付2010年预算参考数" xfId="525"/>
    <cellStyle name="常规 10" xfId="526"/>
    <cellStyle name="常规 11" xfId="527"/>
    <cellStyle name="常规 11 2" xfId="528"/>
    <cellStyle name="常规 11 2 2" xfId="529"/>
    <cellStyle name="常规 11 2 3" xfId="530"/>
    <cellStyle name="常规 11_财力性转移支付2009年预算参考数" xfId="531"/>
    <cellStyle name="常规 12" xfId="532"/>
    <cellStyle name="常规 13" xfId="533"/>
    <cellStyle name="常规 14" xfId="534"/>
    <cellStyle name="常规 15" xfId="535"/>
    <cellStyle name="常规 16" xfId="536"/>
    <cellStyle name="常规 17" xfId="537"/>
    <cellStyle name="常规 18" xfId="538"/>
    <cellStyle name="常规 19" xfId="539"/>
    <cellStyle name="常规 2" xfId="540"/>
    <cellStyle name="常规 2 2" xfId="541"/>
    <cellStyle name="常规 2 3" xfId="542"/>
    <cellStyle name="常规 2 4" xfId="543"/>
    <cellStyle name="常规 2_004-2010年增消两税返还情况表" xfId="544"/>
    <cellStyle name="常规 20" xfId="545"/>
    <cellStyle name="常规 21" xfId="546"/>
    <cellStyle name="常规 22" xfId="547"/>
    <cellStyle name="常规 23" xfId="548"/>
    <cellStyle name="常规 24" xfId="549"/>
    <cellStyle name="常规 25" xfId="550"/>
    <cellStyle name="常规 26" xfId="551"/>
    <cellStyle name="常规 27" xfId="552"/>
    <cellStyle name="常规 28" xfId="553"/>
    <cellStyle name="常规 29" xfId="554"/>
    <cellStyle name="常规 3" xfId="555"/>
    <cellStyle name="常规 3 2" xfId="556"/>
    <cellStyle name="常规 3 2 2" xfId="557"/>
    <cellStyle name="常规 3 2 3" xfId="558"/>
    <cellStyle name="常规 3 3" xfId="559"/>
    <cellStyle name="常规 3 4" xfId="560"/>
    <cellStyle name="常规 3 5" xfId="561"/>
    <cellStyle name="常规 30" xfId="562"/>
    <cellStyle name="常规 31" xfId="563"/>
    <cellStyle name="常规 32" xfId="564"/>
    <cellStyle name="常规 33" xfId="565"/>
    <cellStyle name="常规 34" xfId="566"/>
    <cellStyle name="常规 35" xfId="567"/>
    <cellStyle name="常规 36" xfId="568"/>
    <cellStyle name="常规 37" xfId="569"/>
    <cellStyle name="常规 38" xfId="570"/>
    <cellStyle name="常规 39" xfId="571"/>
    <cellStyle name="常规 4" xfId="572"/>
    <cellStyle name="常规 4 2" xfId="573"/>
    <cellStyle name="常规 4 3" xfId="574"/>
    <cellStyle name="常规 4_2008年横排表0721" xfId="575"/>
    <cellStyle name="常规 40" xfId="576"/>
    <cellStyle name="常规 41" xfId="577"/>
    <cellStyle name="常规 42" xfId="578"/>
    <cellStyle name="常规 43" xfId="579"/>
    <cellStyle name="常规 44" xfId="580"/>
    <cellStyle name="常规 45" xfId="581"/>
    <cellStyle name="常规 46" xfId="582"/>
    <cellStyle name="常规 47" xfId="583"/>
    <cellStyle name="常规 48" xfId="584"/>
    <cellStyle name="常规 49" xfId="585"/>
    <cellStyle name="常规 5" xfId="586"/>
    <cellStyle name="常规 5 2" xfId="587"/>
    <cellStyle name="常规 5 2 2" xfId="588"/>
    <cellStyle name="常规 5 3" xfId="589"/>
    <cellStyle name="常规 5 4" xfId="590"/>
    <cellStyle name="常规 5 5" xfId="591"/>
    <cellStyle name="常规 5 5 2" xfId="592"/>
    <cellStyle name="常规 5 6" xfId="593"/>
    <cellStyle name="常规 50" xfId="594"/>
    <cellStyle name="常规 51" xfId="595"/>
    <cellStyle name="常规 52" xfId="596"/>
    <cellStyle name="常规 53" xfId="597"/>
    <cellStyle name="常规 54" xfId="598"/>
    <cellStyle name="常规 55" xfId="599"/>
    <cellStyle name="常规 56" xfId="600"/>
    <cellStyle name="常规 57" xfId="601"/>
    <cellStyle name="常规 58" xfId="602"/>
    <cellStyle name="常规 59" xfId="603"/>
    <cellStyle name="常规 6" xfId="604"/>
    <cellStyle name="常规 60" xfId="605"/>
    <cellStyle name="常规 61" xfId="606"/>
    <cellStyle name="常规 62" xfId="607"/>
    <cellStyle name="常规 63" xfId="608"/>
    <cellStyle name="常规 64" xfId="609"/>
    <cellStyle name="常规 65" xfId="610"/>
    <cellStyle name="常规 66" xfId="611"/>
    <cellStyle name="常规 67" xfId="612"/>
    <cellStyle name="常规 68" xfId="613"/>
    <cellStyle name="常规 69" xfId="614"/>
    <cellStyle name="常规 7" xfId="615"/>
    <cellStyle name="常规 7 2" xfId="616"/>
    <cellStyle name="常规 70" xfId="617"/>
    <cellStyle name="常规 71" xfId="618"/>
    <cellStyle name="常规 72" xfId="619"/>
    <cellStyle name="常规 73" xfId="620"/>
    <cellStyle name="常规 74" xfId="621"/>
    <cellStyle name="常规 75" xfId="622"/>
    <cellStyle name="常规 76" xfId="623"/>
    <cellStyle name="常规 77" xfId="624"/>
    <cellStyle name="常规 78" xfId="625"/>
    <cellStyle name="常规 79" xfId="626"/>
    <cellStyle name="常规 8" xfId="627"/>
    <cellStyle name="常规 80" xfId="628"/>
    <cellStyle name="常规 9" xfId="629"/>
    <cellStyle name="常规_（20091202）人代会附表-表样" xfId="630"/>
    <cellStyle name="常规_（20091202）人代会附表-表样 2" xfId="631"/>
    <cellStyle name="常规_（修改后）新科目人代会报表---印刷稿5.8" xfId="632"/>
    <cellStyle name="常规_（修改后）新科目人代会报表---印刷稿5.8 2" xfId="633"/>
    <cellStyle name="常规_2014-09-26-关于我市全口径预算编制情况的报告（附表）" xfId="634"/>
    <cellStyle name="常规_2015年社会保险基金预算草案表样（报人大）" xfId="635"/>
    <cellStyle name="常规_2016人代会附表（2015-9-11）（姚局）-财经委 2" xfId="636"/>
    <cellStyle name="常规_市专对帐-2016" xfId="637"/>
    <cellStyle name="超级链接" xfId="638"/>
    <cellStyle name="Hyperlink" xfId="639"/>
    <cellStyle name="分级显示行_1_13区汇总" xfId="640"/>
    <cellStyle name="归盒啦_95" xfId="641"/>
    <cellStyle name="好" xfId="642"/>
    <cellStyle name="好 2" xfId="643"/>
    <cellStyle name="好 3" xfId="644"/>
    <cellStyle name="好 4" xfId="645"/>
    <cellStyle name="好 5" xfId="646"/>
    <cellStyle name="好_00省级(打印)" xfId="647"/>
    <cellStyle name="好_03昭通" xfId="648"/>
    <cellStyle name="好_0502通海县" xfId="649"/>
    <cellStyle name="好_05潍坊" xfId="650"/>
    <cellStyle name="好_0605石屏县" xfId="651"/>
    <cellStyle name="好_0605石屏县_财力性转移支付2010年预算参考数" xfId="652"/>
    <cellStyle name="好_07临沂" xfId="653"/>
    <cellStyle name="好_09黑龙江" xfId="654"/>
    <cellStyle name="好_09黑龙江_财力性转移支付2010年预算参考数" xfId="655"/>
    <cellStyle name="好_1" xfId="656"/>
    <cellStyle name="好_1_财力性转移支付2010年预算参考数" xfId="657"/>
    <cellStyle name="好_1110洱源县" xfId="658"/>
    <cellStyle name="好_1110洱源县_财力性转移支付2010年预算参考数" xfId="659"/>
    <cellStyle name="好_11大理" xfId="660"/>
    <cellStyle name="好_11大理_财力性转移支付2010年预算参考数" xfId="661"/>
    <cellStyle name="好_12滨州" xfId="662"/>
    <cellStyle name="好_12滨州_财力性转移支付2010年预算参考数" xfId="663"/>
    <cellStyle name="好_14安徽" xfId="664"/>
    <cellStyle name="好_14安徽_财力性转移支付2010年预算参考数" xfId="665"/>
    <cellStyle name="好_2" xfId="666"/>
    <cellStyle name="好_2_财力性转移支付2010年预算参考数" xfId="667"/>
    <cellStyle name="好_2006年22湖南" xfId="668"/>
    <cellStyle name="好_2006年22湖南_财力性转移支付2010年预算参考数" xfId="669"/>
    <cellStyle name="好_2006年27重庆" xfId="670"/>
    <cellStyle name="好_2006年27重庆_财力性转移支付2010年预算参考数" xfId="671"/>
    <cellStyle name="好_2006年28四川" xfId="672"/>
    <cellStyle name="好_2006年28四川_财力性转移支付2010年预算参考数" xfId="673"/>
    <cellStyle name="好_2006年30云南" xfId="674"/>
    <cellStyle name="好_2006年33甘肃" xfId="675"/>
    <cellStyle name="好_2006年34青海" xfId="676"/>
    <cellStyle name="好_2006年34青海_财力性转移支付2010年预算参考数" xfId="677"/>
    <cellStyle name="好_2006年全省财力计算表（中央、决算）" xfId="678"/>
    <cellStyle name="好_2006年水利统计指标统计表" xfId="679"/>
    <cellStyle name="好_2006年水利统计指标统计表_财力性转移支付2010年预算参考数" xfId="680"/>
    <cellStyle name="好_2007年收支情况及2008年收支预计表(汇总表)" xfId="681"/>
    <cellStyle name="好_2007年收支情况及2008年收支预计表(汇总表)_财力性转移支付2010年预算参考数" xfId="682"/>
    <cellStyle name="好_2007年一般预算支出剔除" xfId="683"/>
    <cellStyle name="好_2007年一般预算支出剔除_财力性转移支付2010年预算参考数" xfId="684"/>
    <cellStyle name="好_2007一般预算支出口径剔除表" xfId="685"/>
    <cellStyle name="好_2007一般预算支出口径剔除表_财力性转移支付2010年预算参考数" xfId="686"/>
    <cellStyle name="好_2008计算资料（8月5）" xfId="687"/>
    <cellStyle name="好_2008年全省汇总收支计算表" xfId="688"/>
    <cellStyle name="好_2008年全省汇总收支计算表_财力性转移支付2010年预算参考数" xfId="689"/>
    <cellStyle name="好_2008年一般预算支出预计" xfId="690"/>
    <cellStyle name="好_2008年预计支出与2007年对比" xfId="691"/>
    <cellStyle name="好_2008年支出核定" xfId="692"/>
    <cellStyle name="好_2008年支出调整" xfId="693"/>
    <cellStyle name="好_2008年支出调整_财力性转移支付2010年预算参考数" xfId="694"/>
    <cellStyle name="好_2015年社会保险基金预算草案表样（报人大）" xfId="695"/>
    <cellStyle name="好_2016年科目0114" xfId="696"/>
    <cellStyle name="好_2016人代会附表（2015-9-11）（姚局）-财经委" xfId="697"/>
    <cellStyle name="好_20河南" xfId="698"/>
    <cellStyle name="好_20河南_财力性转移支付2010年预算参考数" xfId="699"/>
    <cellStyle name="好_22湖南" xfId="700"/>
    <cellStyle name="好_22湖南_财力性转移支付2010年预算参考数" xfId="701"/>
    <cellStyle name="好_27重庆" xfId="702"/>
    <cellStyle name="好_27重庆_财力性转移支付2010年预算参考数" xfId="703"/>
    <cellStyle name="好_28四川" xfId="704"/>
    <cellStyle name="好_28四川_财力性转移支付2010年预算参考数" xfId="705"/>
    <cellStyle name="好_30云南" xfId="706"/>
    <cellStyle name="好_30云南_1" xfId="707"/>
    <cellStyle name="好_30云南_1_财力性转移支付2010年预算参考数" xfId="708"/>
    <cellStyle name="好_33甘肃" xfId="709"/>
    <cellStyle name="好_34青海" xfId="710"/>
    <cellStyle name="好_34青海_1" xfId="711"/>
    <cellStyle name="好_34青海_1_财力性转移支付2010年预算参考数" xfId="712"/>
    <cellStyle name="好_34青海_财力性转移支付2010年预算参考数" xfId="713"/>
    <cellStyle name="好_5.中央部门决算（草案)-1" xfId="714"/>
    <cellStyle name="好_530623_2006年县级财政报表附表" xfId="715"/>
    <cellStyle name="好_530629_2006年县级财政报表附表" xfId="716"/>
    <cellStyle name="好_5334_2006年迪庆县级财政报表附表" xfId="717"/>
    <cellStyle name="好_Book1" xfId="718"/>
    <cellStyle name="好_Book1_财力性转移支付2010年预算参考数" xfId="719"/>
    <cellStyle name="好_Book2" xfId="720"/>
    <cellStyle name="好_Book2_财力性转移支付2010年预算参考数" xfId="721"/>
    <cellStyle name="好_gdp" xfId="722"/>
    <cellStyle name="好_M01-2(州市补助收入)" xfId="723"/>
    <cellStyle name="好_安徽 缺口县区测算(地方填报)1" xfId="724"/>
    <cellStyle name="好_安徽 缺口县区测算(地方填报)1_财力性转移支付2010年预算参考数" xfId="725"/>
    <cellStyle name="好_宝坻区" xfId="726"/>
    <cellStyle name="好_报表" xfId="727"/>
    <cellStyle name="好_表二--电子版" xfId="728"/>
    <cellStyle name="好_不含人员经费系数" xfId="729"/>
    <cellStyle name="好_不含人员经费系数_财力性转移支付2010年预算参考数" xfId="730"/>
    <cellStyle name="好_财政供养人员" xfId="731"/>
    <cellStyle name="好_财政供养人员_财力性转移支付2010年预算参考数" xfId="732"/>
    <cellStyle name="好_测算结果" xfId="733"/>
    <cellStyle name="好_测算结果_财力性转移支付2010年预算参考数" xfId="734"/>
    <cellStyle name="好_测算结果汇总" xfId="735"/>
    <cellStyle name="好_测算结果汇总_财力性转移支付2010年预算参考数" xfId="736"/>
    <cellStyle name="好_成本差异系数" xfId="737"/>
    <cellStyle name="好_成本差异系数（含人口规模）" xfId="738"/>
    <cellStyle name="好_成本差异系数（含人口规模）_财力性转移支付2010年预算参考数" xfId="739"/>
    <cellStyle name="好_成本差异系数_财力性转移支付2010年预算参考数" xfId="740"/>
    <cellStyle name="好_城建部门" xfId="741"/>
    <cellStyle name="好_出版署2010年度中央部门决算草案" xfId="742"/>
    <cellStyle name="好_第五部分(才淼、饶永宏）" xfId="743"/>
    <cellStyle name="好_第一部分：综合全" xfId="744"/>
    <cellStyle name="好_分析缺口率" xfId="745"/>
    <cellStyle name="好_分析缺口率_财力性转移支付2010年预算参考数" xfId="746"/>
    <cellStyle name="好_分县成本差异系数" xfId="747"/>
    <cellStyle name="好_分县成本差异系数_不含人员经费系数" xfId="748"/>
    <cellStyle name="好_分县成本差异系数_不含人员经费系数_财力性转移支付2010年预算参考数" xfId="749"/>
    <cellStyle name="好_分县成本差异系数_财力性转移支付2010年预算参考数" xfId="750"/>
    <cellStyle name="好_分县成本差异系数_民生政策最低支出需求" xfId="751"/>
    <cellStyle name="好_分县成本差异系数_民生政策最低支出需求_财力性转移支付2010年预算参考数" xfId="752"/>
    <cellStyle name="好_附表" xfId="753"/>
    <cellStyle name="好_附表_财力性转移支付2010年预算参考数" xfId="754"/>
    <cellStyle name="好_行政(燃修费)" xfId="755"/>
    <cellStyle name="好_行政(燃修费)_不含人员经费系数" xfId="756"/>
    <cellStyle name="好_行政(燃修费)_不含人员经费系数_财力性转移支付2010年预算参考数" xfId="757"/>
    <cellStyle name="好_行政(燃修费)_财力性转移支付2010年预算参考数" xfId="758"/>
    <cellStyle name="好_行政(燃修费)_民生政策最低支出需求" xfId="759"/>
    <cellStyle name="好_行政(燃修费)_民生政策最低支出需求_财力性转移支付2010年预算参考数" xfId="760"/>
    <cellStyle name="好_行政(燃修费)_县市旗测算-新科目（含人口规模效应）" xfId="761"/>
    <cellStyle name="好_行政(燃修费)_县市旗测算-新科目（含人口规模效应）_财力性转移支付2010年预算参考数" xfId="762"/>
    <cellStyle name="好_行政（人员）" xfId="763"/>
    <cellStyle name="好_行政（人员）_不含人员经费系数" xfId="764"/>
    <cellStyle name="好_行政（人员）_不含人员经费系数_财力性转移支付2010年预算参考数" xfId="765"/>
    <cellStyle name="好_行政（人员）_财力性转移支付2010年预算参考数" xfId="766"/>
    <cellStyle name="好_行政（人员）_民生政策最低支出需求" xfId="767"/>
    <cellStyle name="好_行政（人员）_民生政策最低支出需求_财力性转移支付2010年预算参考数" xfId="768"/>
    <cellStyle name="好_行政（人员）_县市旗测算-新科目（含人口规模效应）" xfId="769"/>
    <cellStyle name="好_行政（人员）_县市旗测算-新科目（含人口规模效应）_财力性转移支付2010年预算参考数" xfId="770"/>
    <cellStyle name="好_行政公检法测算" xfId="771"/>
    <cellStyle name="好_行政公检法测算_不含人员经费系数" xfId="772"/>
    <cellStyle name="好_行政公检法测算_不含人员经费系数_财力性转移支付2010年预算参考数" xfId="773"/>
    <cellStyle name="好_行政公检法测算_财力性转移支付2010年预算参考数" xfId="774"/>
    <cellStyle name="好_行政公检法测算_民生政策最低支出需求" xfId="775"/>
    <cellStyle name="好_行政公检法测算_民生政策最低支出需求_财力性转移支付2010年预算参考数" xfId="776"/>
    <cellStyle name="好_行政公检法测算_县市旗测算-新科目（含人口规模效应）" xfId="777"/>
    <cellStyle name="好_行政公检法测算_县市旗测算-新科目（含人口规模效应）_财力性转移支付2010年预算参考数" xfId="778"/>
    <cellStyle name="好_河南 缺口县区测算(地方填报)" xfId="779"/>
    <cellStyle name="好_河南 缺口县区测算(地方填报)_财力性转移支付2010年预算参考数" xfId="780"/>
    <cellStyle name="好_河南 缺口县区测算(地方填报白)" xfId="781"/>
    <cellStyle name="好_河南 缺口县区测算(地方填报白)_财力性转移支付2010年预算参考数" xfId="782"/>
    <cellStyle name="好_核定人数对比" xfId="783"/>
    <cellStyle name="好_核定人数对比_财力性转移支付2010年预算参考数" xfId="784"/>
    <cellStyle name="好_核定人数下发表" xfId="785"/>
    <cellStyle name="好_核定人数下发表_财力性转移支付2010年预算参考数" xfId="786"/>
    <cellStyle name="好_汇总" xfId="787"/>
    <cellStyle name="好_汇总_财力性转移支付2010年预算参考数" xfId="788"/>
    <cellStyle name="好_汇总表" xfId="789"/>
    <cellStyle name="好_汇总表_财力性转移支付2010年预算参考数" xfId="790"/>
    <cellStyle name="好_汇总表4" xfId="791"/>
    <cellStyle name="好_汇总表4_财力性转移支付2010年预算参考数" xfId="792"/>
    <cellStyle name="好_汇总表提前告知区县" xfId="793"/>
    <cellStyle name="好_汇总-县级财政报表附表" xfId="794"/>
    <cellStyle name="好_检验表" xfId="795"/>
    <cellStyle name="好_检验表（调整后）" xfId="796"/>
    <cellStyle name="好_教育(按照总人口测算）—20080416" xfId="797"/>
    <cellStyle name="好_教育(按照总人口测算）—20080416_不含人员经费系数" xfId="798"/>
    <cellStyle name="好_教育(按照总人口测算）—20080416_不含人员经费系数_财力性转移支付2010年预算参考数" xfId="799"/>
    <cellStyle name="好_教育(按照总人口测算）—20080416_财力性转移支付2010年预算参考数" xfId="800"/>
    <cellStyle name="好_教育(按照总人口测算）—20080416_民生政策最低支出需求" xfId="801"/>
    <cellStyle name="好_教育(按照总人口测算）—20080416_民生政策最低支出需求_财力性转移支付2010年预算参考数" xfId="802"/>
    <cellStyle name="好_教育(按照总人口测算）—20080416_县市旗测算-新科目（含人口规模效应）" xfId="803"/>
    <cellStyle name="好_教育(按照总人口测算）—20080416_县市旗测算-新科目（含人口规模效应）_财力性转移支付2010年预算参考数" xfId="804"/>
    <cellStyle name="好_丽江汇总" xfId="805"/>
    <cellStyle name="好_民生政策最低支出需求" xfId="806"/>
    <cellStyle name="好_民生政策最低支出需求_财力性转移支付2010年预算参考数" xfId="807"/>
    <cellStyle name="好_农林水和城市维护标准支出20080505－县区合计" xfId="808"/>
    <cellStyle name="好_农林水和城市维护标准支出20080505－县区合计_不含人员经费系数" xfId="809"/>
    <cellStyle name="好_农林水和城市维护标准支出20080505－县区合计_不含人员经费系数_财力性转移支付2010年预算参考数" xfId="810"/>
    <cellStyle name="好_农林水和城市维护标准支出20080505－县区合计_财力性转移支付2010年预算参考数" xfId="811"/>
    <cellStyle name="好_农林水和城市维护标准支出20080505－县区合计_民生政策最低支出需求" xfId="812"/>
    <cellStyle name="好_农林水和城市维护标准支出20080505－县区合计_民生政策最低支出需求_财力性转移支付2010年预算参考数" xfId="813"/>
    <cellStyle name="好_农林水和城市维护标准支出20080505－县区合计_县市旗测算-新科目（含人口规模效应）" xfId="814"/>
    <cellStyle name="好_农林水和城市维护标准支出20080505－县区合计_县市旗测算-新科目（含人口规模效应）_财力性转移支付2010年预算参考数" xfId="815"/>
    <cellStyle name="好_平邑" xfId="816"/>
    <cellStyle name="好_平邑_财力性转移支付2010年预算参考数" xfId="817"/>
    <cellStyle name="好_其他部门(按照总人口测算）—20080416" xfId="818"/>
    <cellStyle name="好_其他部门(按照总人口测算）—20080416_不含人员经费系数" xfId="819"/>
    <cellStyle name="好_其他部门(按照总人口测算）—20080416_不含人员经费系数_财力性转移支付2010年预算参考数" xfId="820"/>
    <cellStyle name="好_其他部门(按照总人口测算）—20080416_财力性转移支付2010年预算参考数" xfId="821"/>
    <cellStyle name="好_其他部门(按照总人口测算）—20080416_民生政策最低支出需求" xfId="822"/>
    <cellStyle name="好_其他部门(按照总人口测算）—20080416_民生政策最低支出需求_财力性转移支付2010年预算参考数" xfId="823"/>
    <cellStyle name="好_其他部门(按照总人口测算）—20080416_县市旗测算-新科目（含人口规模效应）" xfId="824"/>
    <cellStyle name="好_其他部门(按照总人口测算）—20080416_县市旗测算-新科目（含人口规模效应）_财力性转移支付2010年预算参考数" xfId="825"/>
    <cellStyle name="好_青海 缺口县区测算(地方填报)" xfId="826"/>
    <cellStyle name="好_青海 缺口县区测算(地方填报)_财力性转移支付2010年预算参考数" xfId="827"/>
    <cellStyle name="好_全国友协2010年度中央部门决算（草案）" xfId="828"/>
    <cellStyle name="好_缺口县区测算" xfId="829"/>
    <cellStyle name="好_缺口县区测算（11.13）" xfId="830"/>
    <cellStyle name="好_缺口县区测算（11.13）_财力性转移支付2010年预算参考数" xfId="831"/>
    <cellStyle name="好_缺口县区测算(按2007支出增长25%测算)" xfId="832"/>
    <cellStyle name="好_缺口县区测算(按2007支出增长25%测算)_财力性转移支付2010年预算参考数" xfId="833"/>
    <cellStyle name="好_缺口县区测算(按核定人数)" xfId="834"/>
    <cellStyle name="好_缺口县区测算(按核定人数)_财力性转移支付2010年预算参考数" xfId="835"/>
    <cellStyle name="好_缺口县区测算(财政部标准)" xfId="836"/>
    <cellStyle name="好_缺口县区测算(财政部标准)_财力性转移支付2010年预算参考数" xfId="837"/>
    <cellStyle name="好_缺口县区测算_财力性转移支付2010年预算参考数" xfId="838"/>
    <cellStyle name="好_人员工资和公用经费" xfId="839"/>
    <cellStyle name="好_人员工资和公用经费_财力性转移支付2010年预算参考数" xfId="840"/>
    <cellStyle name="好_人员工资和公用经费2" xfId="841"/>
    <cellStyle name="好_人员工资和公用经费2_财力性转移支付2010年预算参考数" xfId="842"/>
    <cellStyle name="好_人员工资和公用经费3" xfId="843"/>
    <cellStyle name="好_人员工资和公用经费3_财力性转移支付2010年预算参考数" xfId="844"/>
    <cellStyle name="好_山东省民生支出标准" xfId="845"/>
    <cellStyle name="好_山东省民生支出标准_财力性转移支付2010年预算参考数" xfId="846"/>
    <cellStyle name="好_社保处下达区县2015年指标（第二批）" xfId="847"/>
    <cellStyle name="好_市辖区测算20080510" xfId="848"/>
    <cellStyle name="好_市辖区测算20080510_不含人员经费系数" xfId="849"/>
    <cellStyle name="好_市辖区测算20080510_不含人员经费系数_财力性转移支付2010年预算参考数" xfId="850"/>
    <cellStyle name="好_市辖区测算20080510_财力性转移支付2010年预算参考数" xfId="851"/>
    <cellStyle name="好_市辖区测算20080510_民生政策最低支出需求" xfId="852"/>
    <cellStyle name="好_市辖区测算20080510_民生政策最低支出需求_财力性转移支付2010年预算参考数" xfId="853"/>
    <cellStyle name="好_市辖区测算20080510_县市旗测算-新科目（含人口规模效应）" xfId="854"/>
    <cellStyle name="好_市辖区测算20080510_县市旗测算-新科目（含人口规模效应）_财力性转移支付2010年预算参考数" xfId="855"/>
    <cellStyle name="好_市辖区测算-新科目（20080626）" xfId="856"/>
    <cellStyle name="好_市辖区测算-新科目（20080626）_不含人员经费系数" xfId="857"/>
    <cellStyle name="好_市辖区测算-新科目（20080626）_不含人员经费系数_财力性转移支付2010年预算参考数" xfId="858"/>
    <cellStyle name="好_市辖区测算-新科目（20080626）_财力性转移支付2010年预算参考数" xfId="859"/>
    <cellStyle name="好_市辖区测算-新科目（20080626）_民生政策最低支出需求" xfId="860"/>
    <cellStyle name="好_市辖区测算-新科目（20080626）_民生政策最低支出需求_财力性转移支付2010年预算参考数" xfId="861"/>
    <cellStyle name="好_市辖区测算-新科目（20080626）_县市旗测算-新科目（含人口规模效应）" xfId="862"/>
    <cellStyle name="好_市辖区测算-新科目（20080626）_县市旗测算-新科目（含人口规模效应）_财力性转移支付2010年预算参考数" xfId="863"/>
    <cellStyle name="好_数据--基础数据--预算组--2015年人代会预算部分--2015.01.20--人代会前第6稿--按姚局意见改--调市级项级明细" xfId="864"/>
    <cellStyle name="好_数据--基础数据--预算组--2015年人代会预算部分--2015.01.20--人代会前第6稿--按姚局意见改--调市级项级明细_政府预算公开模板" xfId="865"/>
    <cellStyle name="好_司法部2010年度中央部门决算（草案）报" xfId="866"/>
    <cellStyle name="好_同德" xfId="867"/>
    <cellStyle name="好_同德_财力性转移支付2010年预算参考数" xfId="868"/>
    <cellStyle name="好_危改资金测算" xfId="869"/>
    <cellStyle name="好_危改资金测算_财力性转移支付2010年预算参考数" xfId="870"/>
    <cellStyle name="好_卫生(按照总人口测算）—20080416" xfId="871"/>
    <cellStyle name="好_卫生(按照总人口测算）—20080416_不含人员经费系数" xfId="872"/>
    <cellStyle name="好_卫生(按照总人口测算）—20080416_不含人员经费系数_财力性转移支付2010年预算参考数" xfId="873"/>
    <cellStyle name="好_卫生(按照总人口测算）—20080416_财力性转移支付2010年预算参考数" xfId="874"/>
    <cellStyle name="好_卫生(按照总人口测算）—20080416_民生政策最低支出需求" xfId="875"/>
    <cellStyle name="好_卫生(按照总人口测算）—20080416_民生政策最低支出需求_财力性转移支付2010年预算参考数" xfId="876"/>
    <cellStyle name="好_卫生(按照总人口测算）—20080416_县市旗测算-新科目（含人口规模效应）" xfId="877"/>
    <cellStyle name="好_卫生(按照总人口测算）—20080416_县市旗测算-新科目（含人口规模效应）_财力性转移支付2010年预算参考数" xfId="878"/>
    <cellStyle name="好_卫生部门" xfId="879"/>
    <cellStyle name="好_卫生部门_财力性转移支付2010年预算参考数" xfId="880"/>
    <cellStyle name="好_文体广播部门" xfId="881"/>
    <cellStyle name="好_文体广播事业(按照总人口测算）—20080416" xfId="882"/>
    <cellStyle name="好_文体广播事业(按照总人口测算）—20080416_不含人员经费系数" xfId="883"/>
    <cellStyle name="好_文体广播事业(按照总人口测算）—20080416_不含人员经费系数_财力性转移支付2010年预算参考数" xfId="884"/>
    <cellStyle name="好_文体广播事业(按照总人口测算）—20080416_财力性转移支付2010年预算参考数" xfId="885"/>
    <cellStyle name="好_文体广播事业(按照总人口测算）—20080416_民生政策最低支出需求" xfId="886"/>
    <cellStyle name="好_文体广播事业(按照总人口测算）—20080416_民生政策最低支出需求_财力性转移支付2010年预算参考数" xfId="887"/>
    <cellStyle name="好_文体广播事业(按照总人口测算）—20080416_县市旗测算-新科目（含人口规模效应）" xfId="888"/>
    <cellStyle name="好_文体广播事业(按照总人口测算）—20080416_县市旗测算-新科目（含人口规模效应）_财力性转移支付2010年预算参考数" xfId="889"/>
    <cellStyle name="好_县区合并测算20080421" xfId="890"/>
    <cellStyle name="好_县区合并测算20080421_不含人员经费系数" xfId="891"/>
    <cellStyle name="好_县区合并测算20080421_不含人员经费系数_财力性转移支付2010年预算参考数" xfId="892"/>
    <cellStyle name="好_县区合并测算20080421_财力性转移支付2010年预算参考数" xfId="893"/>
    <cellStyle name="好_县区合并测算20080421_民生政策最低支出需求" xfId="894"/>
    <cellStyle name="好_县区合并测算20080421_民生政策最低支出需求_财力性转移支付2010年预算参考数" xfId="895"/>
    <cellStyle name="好_县区合并测算20080421_县市旗测算-新科目（含人口规模效应）" xfId="896"/>
    <cellStyle name="好_县区合并测算20080421_县市旗测算-新科目（含人口规模效应）_财力性转移支付2010年预算参考数" xfId="897"/>
    <cellStyle name="好_县区合并测算20080423(按照各省比重）" xfId="898"/>
    <cellStyle name="好_县区合并测算20080423(按照各省比重）_不含人员经费系数" xfId="899"/>
    <cellStyle name="好_县区合并测算20080423(按照各省比重）_不含人员经费系数_财力性转移支付2010年预算参考数" xfId="900"/>
    <cellStyle name="好_县区合并测算20080423(按照各省比重）_财力性转移支付2010年预算参考数" xfId="901"/>
    <cellStyle name="好_县区合并测算20080423(按照各省比重）_民生政策最低支出需求" xfId="902"/>
    <cellStyle name="好_县区合并测算20080423(按照各省比重）_民生政策最低支出需求_财力性转移支付2010年预算参考数" xfId="903"/>
    <cellStyle name="好_县区合并测算20080423(按照各省比重）_县市旗测算-新科目（含人口规模效应）" xfId="904"/>
    <cellStyle name="好_县区合并测算20080423(按照各省比重）_县市旗测算-新科目（含人口规模效应）_财力性转移支付2010年预算参考数" xfId="905"/>
    <cellStyle name="好_县市旗测算20080508" xfId="906"/>
    <cellStyle name="好_县市旗测算20080508_不含人员经费系数" xfId="907"/>
    <cellStyle name="好_县市旗测算20080508_不含人员经费系数_财力性转移支付2010年预算参考数" xfId="908"/>
    <cellStyle name="好_县市旗测算20080508_财力性转移支付2010年预算参考数" xfId="909"/>
    <cellStyle name="好_县市旗测算20080508_民生政策最低支出需求" xfId="910"/>
    <cellStyle name="好_县市旗测算20080508_民生政策最低支出需求_财力性转移支付2010年预算参考数" xfId="911"/>
    <cellStyle name="好_县市旗测算20080508_县市旗测算-新科目（含人口规模效应）" xfId="912"/>
    <cellStyle name="好_县市旗测算20080508_县市旗测算-新科目（含人口规模效应）_财力性转移支付2010年预算参考数" xfId="913"/>
    <cellStyle name="好_县市旗测算-新科目（20080626）" xfId="914"/>
    <cellStyle name="好_县市旗测算-新科目（20080626）_不含人员经费系数" xfId="915"/>
    <cellStyle name="好_县市旗测算-新科目（20080626）_不含人员经费系数_财力性转移支付2010年预算参考数" xfId="916"/>
    <cellStyle name="好_县市旗测算-新科目（20080626）_财力性转移支付2010年预算参考数" xfId="917"/>
    <cellStyle name="好_县市旗测算-新科目（20080626）_民生政策最低支出需求" xfId="918"/>
    <cellStyle name="好_县市旗测算-新科目（20080626）_民生政策最低支出需求_财力性转移支付2010年预算参考数" xfId="919"/>
    <cellStyle name="好_县市旗测算-新科目（20080626）_县市旗测算-新科目（含人口规模效应）" xfId="920"/>
    <cellStyle name="好_县市旗测算-新科目（20080626）_县市旗测算-新科目（含人口规模效应）_财力性转移支付2010年预算参考数" xfId="921"/>
    <cellStyle name="好_县市旗测算-新科目（20080627）" xfId="922"/>
    <cellStyle name="好_县市旗测算-新科目（20080627）_不含人员经费系数" xfId="923"/>
    <cellStyle name="好_县市旗测算-新科目（20080627）_不含人员经费系数_财力性转移支付2010年预算参考数" xfId="924"/>
    <cellStyle name="好_县市旗测算-新科目（20080627）_财力性转移支付2010年预算参考数" xfId="925"/>
    <cellStyle name="好_县市旗测算-新科目（20080627）_民生政策最低支出需求" xfId="926"/>
    <cellStyle name="好_县市旗测算-新科目（20080627）_民生政策最低支出需求_财力性转移支付2010年预算参考数" xfId="927"/>
    <cellStyle name="好_县市旗测算-新科目（20080627）_县市旗测算-新科目（含人口规模效应）" xfId="928"/>
    <cellStyle name="好_县市旗测算-新科目（20080627）_县市旗测算-新科目（含人口规模效应）_财力性转移支付2010年预算参考数" xfId="929"/>
    <cellStyle name="好_一般预算支出口径剔除表" xfId="930"/>
    <cellStyle name="好_一般预算支出口径剔除表_财力性转移支付2010年预算参考数" xfId="931"/>
    <cellStyle name="好_云南 缺口县区测算(地方填报)" xfId="932"/>
    <cellStyle name="好_云南 缺口县区测算(地方填报)_财力性转移支付2010年预算参考数" xfId="933"/>
    <cellStyle name="好_云南省2008年转移支付测算——州市本级考核部分及政策性测算" xfId="934"/>
    <cellStyle name="好_云南省2008年转移支付测算——州市本级考核部分及政策性测算_财力性转移支付2010年预算参考数" xfId="935"/>
    <cellStyle name="好_重点民生支出需求测算表社保（农村低保）081112" xfId="936"/>
    <cellStyle name="好_自行调整差异系数顺序" xfId="937"/>
    <cellStyle name="好_自行调整差异系数顺序_财力性转移支付2010年预算参考数" xfId="938"/>
    <cellStyle name="好_总人口" xfId="939"/>
    <cellStyle name="好_总人口_财力性转移支付2010年预算参考数" xfId="940"/>
    <cellStyle name="后继超级链接" xfId="941"/>
    <cellStyle name="后继超链接" xfId="942"/>
    <cellStyle name="汇总" xfId="943"/>
    <cellStyle name="汇总 2" xfId="944"/>
    <cellStyle name="汇总 3" xfId="945"/>
    <cellStyle name="汇总 4" xfId="946"/>
    <cellStyle name="汇总 5" xfId="947"/>
    <cellStyle name="Currency" xfId="948"/>
    <cellStyle name="货币 2" xfId="949"/>
    <cellStyle name="Currency [0]" xfId="950"/>
    <cellStyle name="计算" xfId="951"/>
    <cellStyle name="计算 2" xfId="952"/>
    <cellStyle name="计算 3" xfId="953"/>
    <cellStyle name="计算 4" xfId="954"/>
    <cellStyle name="计算 5" xfId="955"/>
    <cellStyle name="检查单元格" xfId="956"/>
    <cellStyle name="检查单元格 2" xfId="957"/>
    <cellStyle name="检查单元格 3" xfId="958"/>
    <cellStyle name="检查单元格 4" xfId="959"/>
    <cellStyle name="检查单元格 5" xfId="960"/>
    <cellStyle name="解释性文本" xfId="961"/>
    <cellStyle name="解释性文本 2" xfId="962"/>
    <cellStyle name="解释性文本 3" xfId="963"/>
    <cellStyle name="解释性文本 4" xfId="964"/>
    <cellStyle name="解释性文本 5" xfId="965"/>
    <cellStyle name="警告文本" xfId="966"/>
    <cellStyle name="警告文本 2" xfId="967"/>
    <cellStyle name="警告文本 3" xfId="968"/>
    <cellStyle name="警告文本 4" xfId="969"/>
    <cellStyle name="警告文本 5" xfId="970"/>
    <cellStyle name="链接单元格" xfId="971"/>
    <cellStyle name="链接单元格 2" xfId="972"/>
    <cellStyle name="链接单元格 3" xfId="973"/>
    <cellStyle name="链接单元格 4" xfId="974"/>
    <cellStyle name="链接单元格 5" xfId="975"/>
    <cellStyle name="霓付 [0]_ +Foil &amp; -FOIL &amp; PAPER" xfId="976"/>
    <cellStyle name="霓付_ +Foil &amp; -FOIL &amp; PAPER" xfId="977"/>
    <cellStyle name="烹拳 [0]_ +Foil &amp; -FOIL &amp; PAPER" xfId="978"/>
    <cellStyle name="烹拳_ +Foil &amp; -FOIL &amp; PAPER" xfId="979"/>
    <cellStyle name="普通_ 白土" xfId="980"/>
    <cellStyle name="千分位[0]_ 白土" xfId="981"/>
    <cellStyle name="千分位_ 白土" xfId="982"/>
    <cellStyle name="千位[0]_(人代会用)" xfId="983"/>
    <cellStyle name="千位_(人代会用)" xfId="984"/>
    <cellStyle name="Comma" xfId="985"/>
    <cellStyle name="千位分隔 10 2 2 2" xfId="986"/>
    <cellStyle name="千位分隔 11" xfId="987"/>
    <cellStyle name="千位分隔 13" xfId="988"/>
    <cellStyle name="千位分隔 2" xfId="989"/>
    <cellStyle name="千位分隔 2 2" xfId="990"/>
    <cellStyle name="千位分隔 2 2 2" xfId="991"/>
    <cellStyle name="千位分隔 2 3" xfId="992"/>
    <cellStyle name="千位分隔 3" xfId="993"/>
    <cellStyle name="千位分隔 3 2" xfId="994"/>
    <cellStyle name="千位分隔 3 2 2" xfId="995"/>
    <cellStyle name="千位分隔 3 3" xfId="996"/>
    <cellStyle name="千位分隔 3 4" xfId="997"/>
    <cellStyle name="千位分隔 4" xfId="998"/>
    <cellStyle name="千位分隔 4 2" xfId="999"/>
    <cellStyle name="千位分隔 4 2 2" xfId="1000"/>
    <cellStyle name="千位分隔 4 3" xfId="1001"/>
    <cellStyle name="千位分隔 4 4" xfId="1002"/>
    <cellStyle name="千位分隔 4 5" xfId="1003"/>
    <cellStyle name="千位分隔 5" xfId="1004"/>
    <cellStyle name="千位分隔 5 2" xfId="1005"/>
    <cellStyle name="千位分隔 5 2 2" xfId="1006"/>
    <cellStyle name="千位分隔 5 3" xfId="1007"/>
    <cellStyle name="千位分隔 6" xfId="1008"/>
    <cellStyle name="千位分隔 6 2" xfId="1009"/>
    <cellStyle name="千位分隔 7" xfId="1010"/>
    <cellStyle name="千位分隔 8" xfId="1011"/>
    <cellStyle name="Comma [0]" xfId="1012"/>
    <cellStyle name="千位分隔[0] 2" xfId="1013"/>
    <cellStyle name="千位分隔[0] 2 2" xfId="1014"/>
    <cellStyle name="千位分隔[0] 3" xfId="1015"/>
    <cellStyle name="千位分隔[0] 4" xfId="1016"/>
    <cellStyle name="千位分隔[0] 5" xfId="1017"/>
    <cellStyle name="千位分季_新建 Microsoft Excel 工作表" xfId="1018"/>
    <cellStyle name="钎霖_4岿角利" xfId="1019"/>
    <cellStyle name="强调 1" xfId="1020"/>
    <cellStyle name="强调 2" xfId="1021"/>
    <cellStyle name="强调 3" xfId="1022"/>
    <cellStyle name="强调文字颜色 1" xfId="1023"/>
    <cellStyle name="强调文字颜色 1 2" xfId="1024"/>
    <cellStyle name="强调文字颜色 1 3" xfId="1025"/>
    <cellStyle name="强调文字颜色 1 4" xfId="1026"/>
    <cellStyle name="强调文字颜色 1 5" xfId="1027"/>
    <cellStyle name="强调文字颜色 2" xfId="1028"/>
    <cellStyle name="强调文字颜色 2 2" xfId="1029"/>
    <cellStyle name="强调文字颜色 2 3" xfId="1030"/>
    <cellStyle name="强调文字颜色 2 4" xfId="1031"/>
    <cellStyle name="强调文字颜色 2 5" xfId="1032"/>
    <cellStyle name="强调文字颜色 3" xfId="1033"/>
    <cellStyle name="强调文字颜色 3 2" xfId="1034"/>
    <cellStyle name="强调文字颜色 3 3" xfId="1035"/>
    <cellStyle name="强调文字颜色 3 4" xfId="1036"/>
    <cellStyle name="强调文字颜色 3 5" xfId="1037"/>
    <cellStyle name="强调文字颜色 4" xfId="1038"/>
    <cellStyle name="强调文字颜色 4 2" xfId="1039"/>
    <cellStyle name="强调文字颜色 4 3" xfId="1040"/>
    <cellStyle name="强调文字颜色 4 4" xfId="1041"/>
    <cellStyle name="强调文字颜色 4 5" xfId="1042"/>
    <cellStyle name="强调文字颜色 5" xfId="1043"/>
    <cellStyle name="强调文字颜色 5 2" xfId="1044"/>
    <cellStyle name="强调文字颜色 5 3" xfId="1045"/>
    <cellStyle name="强调文字颜色 5 4" xfId="1046"/>
    <cellStyle name="强调文字颜色 5 5" xfId="1047"/>
    <cellStyle name="强调文字颜色 6" xfId="1048"/>
    <cellStyle name="强调文字颜色 6 2" xfId="1049"/>
    <cellStyle name="强调文字颜色 6 3" xfId="1050"/>
    <cellStyle name="强调文字颜色 6 4" xfId="1051"/>
    <cellStyle name="强调文字颜色 6 5" xfId="1052"/>
    <cellStyle name="适中" xfId="1053"/>
    <cellStyle name="适中 2" xfId="1054"/>
    <cellStyle name="适中 3" xfId="1055"/>
    <cellStyle name="适中 4" xfId="1056"/>
    <cellStyle name="适中 5" xfId="1057"/>
    <cellStyle name="输出" xfId="1058"/>
    <cellStyle name="输出 2" xfId="1059"/>
    <cellStyle name="输出 3" xfId="1060"/>
    <cellStyle name="输出 4" xfId="1061"/>
    <cellStyle name="输出 5" xfId="1062"/>
    <cellStyle name="输入" xfId="1063"/>
    <cellStyle name="输入 2" xfId="1064"/>
    <cellStyle name="输入 3" xfId="1065"/>
    <cellStyle name="输入 4" xfId="1066"/>
    <cellStyle name="输入 5" xfId="1067"/>
    <cellStyle name="数字" xfId="1068"/>
    <cellStyle name="未定义" xfId="1069"/>
    <cellStyle name="小数" xfId="1070"/>
    <cellStyle name="样式 1" xfId="1071"/>
    <cellStyle name="Followed Hyperlink" xfId="1072"/>
    <cellStyle name="注释" xfId="1073"/>
    <cellStyle name="注释 2" xfId="1074"/>
    <cellStyle name="注释 3" xfId="1075"/>
    <cellStyle name="注释 4" xfId="1076"/>
    <cellStyle name="注释 5" xfId="1077"/>
    <cellStyle name="콤마 [0]_BOILER-CO1" xfId="1078"/>
    <cellStyle name="콤마_BOILER-CO1" xfId="1079"/>
    <cellStyle name="통화 [0]_BOILER-CO1" xfId="1080"/>
    <cellStyle name="통화_BOILER-CO1" xfId="1081"/>
    <cellStyle name="표준_0N-HANDLING " xfId="10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1"/>
  <sheetViews>
    <sheetView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6" sqref="J106"/>
    </sheetView>
  </sheetViews>
  <sheetFormatPr defaultColWidth="9.00390625" defaultRowHeight="14.25"/>
  <cols>
    <col min="1" max="1" width="42.75390625" style="152" bestFit="1" customWidth="1"/>
    <col min="2" max="2" width="54.875" style="152" customWidth="1"/>
    <col min="3" max="3" width="9.50390625" style="153" bestFit="1" customWidth="1"/>
    <col min="4" max="4" width="10.50390625" style="153" bestFit="1" customWidth="1"/>
    <col min="5" max="16384" width="9.00390625" style="152" customWidth="1"/>
  </cols>
  <sheetData>
    <row r="1" ht="20.25" customHeight="1">
      <c r="A1" s="306" t="s">
        <v>1298</v>
      </c>
    </row>
    <row r="2" spans="1:4" ht="33.75" customHeight="1">
      <c r="A2" s="383" t="s">
        <v>1303</v>
      </c>
      <c r="B2" s="383"/>
      <c r="C2" s="383"/>
      <c r="D2" s="383"/>
    </row>
    <row r="3" ht="14.25">
      <c r="D3" s="154" t="s">
        <v>519</v>
      </c>
    </row>
    <row r="4" spans="1:4" ht="19.5" customHeight="1">
      <c r="A4" s="266" t="s">
        <v>517</v>
      </c>
      <c r="B4" s="266" t="s">
        <v>1091</v>
      </c>
      <c r="C4" s="267" t="s">
        <v>689</v>
      </c>
      <c r="D4" s="268" t="s">
        <v>1092</v>
      </c>
    </row>
    <row r="5" spans="1:4" ht="19.5" customHeight="1">
      <c r="A5" s="381" t="s">
        <v>520</v>
      </c>
      <c r="B5" s="382"/>
      <c r="C5" s="212" t="s">
        <v>691</v>
      </c>
      <c r="D5" s="258">
        <f>SUM(D6:D107)</f>
        <v>15031.61</v>
      </c>
    </row>
    <row r="6" spans="1:4" ht="19.5" customHeight="1">
      <c r="A6" s="156" t="s">
        <v>1093</v>
      </c>
      <c r="B6" s="156" t="s">
        <v>1094</v>
      </c>
      <c r="C6" s="214">
        <v>2013202</v>
      </c>
      <c r="D6" s="258">
        <v>7</v>
      </c>
    </row>
    <row r="7" spans="1:4" ht="19.5" customHeight="1">
      <c r="A7" s="156" t="s">
        <v>1095</v>
      </c>
      <c r="B7" s="156" t="s">
        <v>1096</v>
      </c>
      <c r="C7" s="214">
        <v>2040212</v>
      </c>
      <c r="D7" s="258">
        <v>1.31</v>
      </c>
    </row>
    <row r="8" spans="1:4" ht="19.5" customHeight="1">
      <c r="A8" s="156" t="s">
        <v>1097</v>
      </c>
      <c r="B8" s="156" t="s">
        <v>1096</v>
      </c>
      <c r="C8" s="214">
        <v>2040212</v>
      </c>
      <c r="D8" s="258">
        <v>1.6425</v>
      </c>
    </row>
    <row r="9" spans="1:4" ht="19.5" customHeight="1">
      <c r="A9" s="156" t="s">
        <v>1093</v>
      </c>
      <c r="B9" s="156" t="s">
        <v>1096</v>
      </c>
      <c r="C9" s="214">
        <v>2040212</v>
      </c>
      <c r="D9" s="258">
        <v>2.22</v>
      </c>
    </row>
    <row r="10" spans="1:4" ht="19.5" customHeight="1">
      <c r="A10" s="156" t="s">
        <v>1098</v>
      </c>
      <c r="B10" s="156" t="s">
        <v>1096</v>
      </c>
      <c r="C10" s="214">
        <v>2040212</v>
      </c>
      <c r="D10" s="258">
        <v>3.2</v>
      </c>
    </row>
    <row r="11" spans="1:4" ht="19.5" customHeight="1">
      <c r="A11" s="156" t="s">
        <v>1099</v>
      </c>
      <c r="B11" s="156" t="s">
        <v>1096</v>
      </c>
      <c r="C11" s="214">
        <v>2040212</v>
      </c>
      <c r="D11" s="258">
        <v>4.9275</v>
      </c>
    </row>
    <row r="12" spans="1:4" ht="19.5" customHeight="1">
      <c r="A12" s="156" t="s">
        <v>1100</v>
      </c>
      <c r="B12" s="156" t="s">
        <v>1096</v>
      </c>
      <c r="C12" s="214">
        <v>2040212</v>
      </c>
      <c r="D12" s="258">
        <v>5.75</v>
      </c>
    </row>
    <row r="13" spans="1:4" ht="19.5" customHeight="1">
      <c r="A13" s="156" t="s">
        <v>1101</v>
      </c>
      <c r="B13" s="156" t="s">
        <v>1096</v>
      </c>
      <c r="C13" s="214">
        <v>2040212</v>
      </c>
      <c r="D13" s="258">
        <v>6.41</v>
      </c>
    </row>
    <row r="14" spans="1:4" ht="19.5" customHeight="1">
      <c r="A14" s="156" t="s">
        <v>1102</v>
      </c>
      <c r="B14" s="156" t="s">
        <v>1096</v>
      </c>
      <c r="C14" s="214">
        <v>2040212</v>
      </c>
      <c r="D14" s="258">
        <v>6.41</v>
      </c>
    </row>
    <row r="15" spans="1:4" ht="19.5" customHeight="1">
      <c r="A15" s="156" t="s">
        <v>1103</v>
      </c>
      <c r="B15" s="156" t="s">
        <v>1096</v>
      </c>
      <c r="C15" s="214">
        <v>2040212</v>
      </c>
      <c r="D15" s="258">
        <v>7.8</v>
      </c>
    </row>
    <row r="16" spans="1:4" ht="19.5" customHeight="1">
      <c r="A16" s="156" t="s">
        <v>1097</v>
      </c>
      <c r="B16" s="156" t="s">
        <v>1104</v>
      </c>
      <c r="C16" s="214">
        <v>2080111</v>
      </c>
      <c r="D16" s="258">
        <v>2.4</v>
      </c>
    </row>
    <row r="17" spans="1:4" ht="19.5" customHeight="1">
      <c r="A17" s="156" t="s">
        <v>1099</v>
      </c>
      <c r="B17" s="156" t="s">
        <v>1104</v>
      </c>
      <c r="C17" s="214">
        <v>2080111</v>
      </c>
      <c r="D17" s="258">
        <v>3</v>
      </c>
    </row>
    <row r="18" spans="1:4" ht="19.5" customHeight="1">
      <c r="A18" s="156" t="s">
        <v>1102</v>
      </c>
      <c r="B18" s="156" t="s">
        <v>1104</v>
      </c>
      <c r="C18" s="214">
        <v>2080111</v>
      </c>
      <c r="D18" s="258">
        <v>3</v>
      </c>
    </row>
    <row r="19" spans="1:4" ht="19.5" customHeight="1">
      <c r="A19" s="156" t="s">
        <v>1101</v>
      </c>
      <c r="B19" s="156" t="s">
        <v>1104</v>
      </c>
      <c r="C19" s="214">
        <v>2080111</v>
      </c>
      <c r="D19" s="258">
        <v>3.2</v>
      </c>
    </row>
    <row r="20" spans="1:4" ht="19.5" customHeight="1">
      <c r="A20" s="156" t="s">
        <v>1098</v>
      </c>
      <c r="B20" s="156" t="s">
        <v>1104</v>
      </c>
      <c r="C20" s="214">
        <v>2080111</v>
      </c>
      <c r="D20" s="258">
        <v>3.2</v>
      </c>
    </row>
    <row r="21" spans="1:4" ht="19.5" customHeight="1">
      <c r="A21" s="156" t="s">
        <v>1093</v>
      </c>
      <c r="B21" s="156" t="s">
        <v>1104</v>
      </c>
      <c r="C21" s="214">
        <v>2080111</v>
      </c>
      <c r="D21" s="258">
        <v>3.2</v>
      </c>
    </row>
    <row r="22" spans="1:4" ht="19.5" customHeight="1">
      <c r="A22" s="156" t="s">
        <v>1103</v>
      </c>
      <c r="B22" s="156" t="s">
        <v>1104</v>
      </c>
      <c r="C22" s="214">
        <v>2080111</v>
      </c>
      <c r="D22" s="258">
        <v>4</v>
      </c>
    </row>
    <row r="23" spans="1:4" ht="19.5" customHeight="1">
      <c r="A23" s="156" t="s">
        <v>1095</v>
      </c>
      <c r="B23" s="156" t="s">
        <v>1104</v>
      </c>
      <c r="C23" s="214">
        <v>2080111</v>
      </c>
      <c r="D23" s="258">
        <v>4</v>
      </c>
    </row>
    <row r="24" spans="1:4" ht="19.5" customHeight="1">
      <c r="A24" s="156" t="s">
        <v>1100</v>
      </c>
      <c r="B24" s="156" t="s">
        <v>1104</v>
      </c>
      <c r="C24" s="214">
        <v>2080111</v>
      </c>
      <c r="D24" s="258">
        <v>6</v>
      </c>
    </row>
    <row r="25" spans="1:4" ht="19.5" customHeight="1">
      <c r="A25" s="156" t="s">
        <v>1100</v>
      </c>
      <c r="B25" s="156" t="s">
        <v>1105</v>
      </c>
      <c r="C25" s="214">
        <v>2080208</v>
      </c>
      <c r="D25" s="258">
        <v>13</v>
      </c>
    </row>
    <row r="26" spans="1:4" ht="19.5" customHeight="1">
      <c r="A26" s="156" t="s">
        <v>1100</v>
      </c>
      <c r="B26" s="156" t="s">
        <v>1106</v>
      </c>
      <c r="C26" s="214">
        <v>2080208</v>
      </c>
      <c r="D26" s="258">
        <v>48.2</v>
      </c>
    </row>
    <row r="27" spans="1:4" ht="19.5" customHeight="1">
      <c r="A27" s="156" t="s">
        <v>1099</v>
      </c>
      <c r="B27" s="156" t="s">
        <v>1107</v>
      </c>
      <c r="C27" s="215">
        <v>2080801</v>
      </c>
      <c r="D27" s="258">
        <v>0.75</v>
      </c>
    </row>
    <row r="28" spans="1:4" ht="19.5" customHeight="1">
      <c r="A28" s="156" t="s">
        <v>1100</v>
      </c>
      <c r="B28" s="156" t="s">
        <v>1108</v>
      </c>
      <c r="C28" s="213">
        <v>2080801</v>
      </c>
      <c r="D28" s="258">
        <v>0.78</v>
      </c>
    </row>
    <row r="29" spans="1:4" ht="19.5" customHeight="1">
      <c r="A29" s="156" t="s">
        <v>1101</v>
      </c>
      <c r="B29" s="156" t="s">
        <v>1109</v>
      </c>
      <c r="C29" s="213">
        <v>2080801</v>
      </c>
      <c r="D29" s="258">
        <v>0.78</v>
      </c>
    </row>
    <row r="30" spans="1:4" ht="19.5" customHeight="1">
      <c r="A30" s="156" t="s">
        <v>1103</v>
      </c>
      <c r="B30" s="156" t="s">
        <v>1110</v>
      </c>
      <c r="C30" s="213">
        <v>2080801</v>
      </c>
      <c r="D30" s="258">
        <v>4.46</v>
      </c>
    </row>
    <row r="31" spans="1:4" ht="19.5" customHeight="1">
      <c r="A31" s="156" t="s">
        <v>1095</v>
      </c>
      <c r="B31" s="156" t="s">
        <v>1111</v>
      </c>
      <c r="C31" s="213">
        <v>2080801</v>
      </c>
      <c r="D31" s="258">
        <v>4.6</v>
      </c>
    </row>
    <row r="32" spans="1:4" ht="19.5" customHeight="1">
      <c r="A32" s="156" t="s">
        <v>1097</v>
      </c>
      <c r="B32" s="156" t="s">
        <v>1112</v>
      </c>
      <c r="C32" s="213">
        <v>2080801</v>
      </c>
      <c r="D32" s="258">
        <v>6.4</v>
      </c>
    </row>
    <row r="33" spans="1:4" ht="19.5" customHeight="1">
      <c r="A33" s="156" t="s">
        <v>1098</v>
      </c>
      <c r="B33" s="156" t="s">
        <v>1113</v>
      </c>
      <c r="C33" s="213">
        <v>2080801</v>
      </c>
      <c r="D33" s="258">
        <v>6.89</v>
      </c>
    </row>
    <row r="34" spans="1:4" ht="19.5" customHeight="1">
      <c r="A34" s="156" t="s">
        <v>1102</v>
      </c>
      <c r="B34" s="156" t="s">
        <v>1114</v>
      </c>
      <c r="C34" s="213">
        <v>2080801</v>
      </c>
      <c r="D34" s="258">
        <v>22.27</v>
      </c>
    </row>
    <row r="35" spans="1:4" ht="19.5" customHeight="1">
      <c r="A35" s="156" t="s">
        <v>1103</v>
      </c>
      <c r="B35" s="156" t="s">
        <v>1115</v>
      </c>
      <c r="C35" s="216">
        <v>2080802</v>
      </c>
      <c r="D35" s="258">
        <v>14.86</v>
      </c>
    </row>
    <row r="36" spans="1:4" ht="19.5" customHeight="1">
      <c r="A36" s="156" t="s">
        <v>1102</v>
      </c>
      <c r="B36" s="156" t="s">
        <v>1116</v>
      </c>
      <c r="C36" s="216">
        <v>2080802</v>
      </c>
      <c r="D36" s="258">
        <v>11.62</v>
      </c>
    </row>
    <row r="37" spans="1:4" ht="19.5" customHeight="1">
      <c r="A37" s="156" t="s">
        <v>1099</v>
      </c>
      <c r="B37" s="156" t="s">
        <v>1117</v>
      </c>
      <c r="C37" s="216">
        <v>2080802</v>
      </c>
      <c r="D37" s="258">
        <v>43.09</v>
      </c>
    </row>
    <row r="38" spans="1:4" ht="19.5" customHeight="1">
      <c r="A38" s="156" t="s">
        <v>1093</v>
      </c>
      <c r="B38" s="156" t="s">
        <v>1118</v>
      </c>
      <c r="C38" s="216">
        <v>2080802</v>
      </c>
      <c r="D38" s="258">
        <v>14.85</v>
      </c>
    </row>
    <row r="39" spans="1:4" ht="19.5" customHeight="1">
      <c r="A39" s="156" t="s">
        <v>1095</v>
      </c>
      <c r="B39" s="156" t="s">
        <v>1119</v>
      </c>
      <c r="C39" s="216">
        <v>2080802</v>
      </c>
      <c r="D39" s="258">
        <v>16.38</v>
      </c>
    </row>
    <row r="40" spans="1:4" ht="19.5" customHeight="1">
      <c r="A40" s="156" t="s">
        <v>1097</v>
      </c>
      <c r="B40" s="156" t="s">
        <v>1120</v>
      </c>
      <c r="C40" s="216">
        <v>2080802</v>
      </c>
      <c r="D40" s="258">
        <v>20.32</v>
      </c>
    </row>
    <row r="41" spans="1:4" ht="19.5" customHeight="1">
      <c r="A41" s="156" t="s">
        <v>1098</v>
      </c>
      <c r="B41" s="156" t="s">
        <v>1121</v>
      </c>
      <c r="C41" s="216">
        <v>2080802</v>
      </c>
      <c r="D41" s="258">
        <v>26.76</v>
      </c>
    </row>
    <row r="42" spans="1:4" ht="19.5" customHeight="1">
      <c r="A42" s="156" t="s">
        <v>1101</v>
      </c>
      <c r="B42" s="156" t="s">
        <v>1122</v>
      </c>
      <c r="C42" s="216">
        <v>2080802</v>
      </c>
      <c r="D42" s="258">
        <v>29.73</v>
      </c>
    </row>
    <row r="43" spans="1:4" ht="19.5" customHeight="1">
      <c r="A43" s="156" t="s">
        <v>1095</v>
      </c>
      <c r="B43" s="156" t="s">
        <v>1123</v>
      </c>
      <c r="C43" s="213">
        <v>2080803</v>
      </c>
      <c r="D43" s="258">
        <v>140.58</v>
      </c>
    </row>
    <row r="44" spans="1:4" ht="19.5" customHeight="1">
      <c r="A44" s="156" t="s">
        <v>1102</v>
      </c>
      <c r="B44" s="156" t="s">
        <v>1124</v>
      </c>
      <c r="C44" s="213">
        <v>2080803</v>
      </c>
      <c r="D44" s="258">
        <v>32.5</v>
      </c>
    </row>
    <row r="45" spans="1:4" ht="19.5" customHeight="1">
      <c r="A45" s="156" t="s">
        <v>1103</v>
      </c>
      <c r="B45" s="156" t="s">
        <v>1125</v>
      </c>
      <c r="C45" s="213">
        <v>2080803</v>
      </c>
      <c r="D45" s="258">
        <v>59.75</v>
      </c>
    </row>
    <row r="46" spans="1:4" ht="19.5" customHeight="1">
      <c r="A46" s="156" t="s">
        <v>1093</v>
      </c>
      <c r="B46" s="156" t="s">
        <v>1126</v>
      </c>
      <c r="C46" s="213">
        <v>2080803</v>
      </c>
      <c r="D46" s="258">
        <v>50.15</v>
      </c>
    </row>
    <row r="47" spans="1:4" ht="19.5" customHeight="1">
      <c r="A47" s="156" t="s">
        <v>1101</v>
      </c>
      <c r="B47" s="156" t="s">
        <v>1127</v>
      </c>
      <c r="C47" s="213">
        <v>2080803</v>
      </c>
      <c r="D47" s="258">
        <v>60.48</v>
      </c>
    </row>
    <row r="48" spans="1:4" ht="19.5" customHeight="1">
      <c r="A48" s="156" t="s">
        <v>1100</v>
      </c>
      <c r="B48" s="156" t="s">
        <v>1128</v>
      </c>
      <c r="C48" s="217">
        <v>2080803</v>
      </c>
      <c r="D48" s="258">
        <v>65.3</v>
      </c>
    </row>
    <row r="49" spans="1:4" ht="19.5" customHeight="1">
      <c r="A49" s="156" t="s">
        <v>1097</v>
      </c>
      <c r="B49" s="156" t="s">
        <v>1129</v>
      </c>
      <c r="C49" s="214">
        <v>2080803</v>
      </c>
      <c r="D49" s="258">
        <v>161.21</v>
      </c>
    </row>
    <row r="50" spans="1:4" ht="19.5" customHeight="1">
      <c r="A50" s="156" t="s">
        <v>1099</v>
      </c>
      <c r="B50" s="156" t="s">
        <v>1130</v>
      </c>
      <c r="C50" s="214">
        <v>2080803</v>
      </c>
      <c r="D50" s="258">
        <v>22.05</v>
      </c>
    </row>
    <row r="51" spans="1:4" ht="19.5" customHeight="1">
      <c r="A51" s="156" t="s">
        <v>1098</v>
      </c>
      <c r="B51" s="156" t="s">
        <v>1131</v>
      </c>
      <c r="C51" s="214">
        <v>2080803</v>
      </c>
      <c r="D51" s="258">
        <v>116.345</v>
      </c>
    </row>
    <row r="52" spans="1:4" ht="19.5" customHeight="1">
      <c r="A52" s="156" t="s">
        <v>1095</v>
      </c>
      <c r="B52" s="156" t="s">
        <v>1132</v>
      </c>
      <c r="C52" s="214">
        <v>2081099</v>
      </c>
      <c r="D52" s="258">
        <v>4.87</v>
      </c>
    </row>
    <row r="53" spans="1:4" ht="19.5" customHeight="1">
      <c r="A53" s="156" t="s">
        <v>1100</v>
      </c>
      <c r="B53" s="156" t="s">
        <v>1133</v>
      </c>
      <c r="C53" s="214">
        <v>2081901</v>
      </c>
      <c r="D53" s="258">
        <v>15</v>
      </c>
    </row>
    <row r="54" spans="1:4" ht="19.5" customHeight="1">
      <c r="A54" s="156" t="s">
        <v>1103</v>
      </c>
      <c r="B54" s="156" t="s">
        <v>1134</v>
      </c>
      <c r="C54" s="214">
        <v>2081901</v>
      </c>
      <c r="D54" s="258">
        <v>14.94</v>
      </c>
    </row>
    <row r="55" spans="1:4" ht="19.5" customHeight="1">
      <c r="A55" s="156" t="s">
        <v>1097</v>
      </c>
      <c r="B55" s="156" t="s">
        <v>1135</v>
      </c>
      <c r="C55" s="214">
        <v>2081901</v>
      </c>
      <c r="D55" s="258">
        <v>73.66</v>
      </c>
    </row>
    <row r="56" spans="1:4" ht="19.5" customHeight="1">
      <c r="A56" s="156" t="s">
        <v>1095</v>
      </c>
      <c r="B56" s="156" t="s">
        <v>1136</v>
      </c>
      <c r="C56" s="214">
        <v>2081901</v>
      </c>
      <c r="D56" s="258">
        <v>115.49</v>
      </c>
    </row>
    <row r="57" spans="1:4" ht="19.5" customHeight="1">
      <c r="A57" s="156" t="s">
        <v>1102</v>
      </c>
      <c r="B57" s="156" t="s">
        <v>1137</v>
      </c>
      <c r="C57" s="214">
        <v>2081901</v>
      </c>
      <c r="D57" s="258">
        <v>149.93</v>
      </c>
    </row>
    <row r="58" spans="1:4" ht="19.5" customHeight="1">
      <c r="A58" s="156" t="s">
        <v>1099</v>
      </c>
      <c r="B58" s="156" t="s">
        <v>1138</v>
      </c>
      <c r="C58" s="214">
        <v>2081901</v>
      </c>
      <c r="D58" s="258">
        <v>237.5625</v>
      </c>
    </row>
    <row r="59" spans="1:4" ht="19.5" customHeight="1">
      <c r="A59" s="156" t="s">
        <v>1101</v>
      </c>
      <c r="B59" s="156" t="s">
        <v>1139</v>
      </c>
      <c r="C59" s="214">
        <v>2081901</v>
      </c>
      <c r="D59" s="258">
        <v>23.12</v>
      </c>
    </row>
    <row r="60" spans="1:4" ht="19.5" customHeight="1">
      <c r="A60" s="156" t="s">
        <v>1093</v>
      </c>
      <c r="B60" s="156" t="s">
        <v>1140</v>
      </c>
      <c r="C60" s="214">
        <v>2081901</v>
      </c>
      <c r="D60" s="258">
        <v>38.06</v>
      </c>
    </row>
    <row r="61" spans="1:4" ht="19.5" customHeight="1">
      <c r="A61" s="156" t="s">
        <v>1098</v>
      </c>
      <c r="B61" s="156" t="s">
        <v>1141</v>
      </c>
      <c r="C61" s="214">
        <v>2081901</v>
      </c>
      <c r="D61" s="258">
        <v>51.96</v>
      </c>
    </row>
    <row r="62" spans="1:4" ht="19.5" customHeight="1">
      <c r="A62" s="156" t="s">
        <v>1100</v>
      </c>
      <c r="B62" s="156" t="s">
        <v>1142</v>
      </c>
      <c r="C62" s="214">
        <v>2081901</v>
      </c>
      <c r="D62" s="258">
        <v>1028.62</v>
      </c>
    </row>
    <row r="63" spans="1:4" ht="19.5" customHeight="1">
      <c r="A63" s="156" t="s">
        <v>1099</v>
      </c>
      <c r="B63" s="156" t="s">
        <v>1143</v>
      </c>
      <c r="C63" s="216">
        <v>2081902</v>
      </c>
      <c r="D63" s="258">
        <v>177.83</v>
      </c>
    </row>
    <row r="64" spans="1:4" ht="19.5" customHeight="1">
      <c r="A64" s="156" t="s">
        <v>1097</v>
      </c>
      <c r="B64" s="156" t="s">
        <v>1144</v>
      </c>
      <c r="C64" s="216">
        <v>2081902</v>
      </c>
      <c r="D64" s="258">
        <v>276.02</v>
      </c>
    </row>
    <row r="65" spans="1:4" ht="19.5" customHeight="1">
      <c r="A65" s="156" t="s">
        <v>1101</v>
      </c>
      <c r="B65" s="156" t="s">
        <v>1145</v>
      </c>
      <c r="C65" s="216">
        <v>2081902</v>
      </c>
      <c r="D65" s="258">
        <v>72.63</v>
      </c>
    </row>
    <row r="66" spans="1:4" ht="19.5" customHeight="1">
      <c r="A66" s="156" t="s">
        <v>1103</v>
      </c>
      <c r="B66" s="156" t="s">
        <v>1146</v>
      </c>
      <c r="C66" s="216">
        <v>2081902</v>
      </c>
      <c r="D66" s="258">
        <v>19.99</v>
      </c>
    </row>
    <row r="67" spans="1:4" ht="19.5" customHeight="1">
      <c r="A67" s="156" t="s">
        <v>1098</v>
      </c>
      <c r="B67" s="156" t="s">
        <v>1147</v>
      </c>
      <c r="C67" s="216">
        <v>2081902</v>
      </c>
      <c r="D67" s="258">
        <v>319.23</v>
      </c>
    </row>
    <row r="68" spans="1:4" ht="19.5" customHeight="1">
      <c r="A68" s="156" t="s">
        <v>1100</v>
      </c>
      <c r="B68" s="156" t="s">
        <v>1148</v>
      </c>
      <c r="C68" s="216">
        <v>2081902</v>
      </c>
      <c r="D68" s="258">
        <v>182.35</v>
      </c>
    </row>
    <row r="69" spans="1:4" ht="19.5" customHeight="1">
      <c r="A69" s="156" t="s">
        <v>1095</v>
      </c>
      <c r="B69" s="156" t="s">
        <v>1149</v>
      </c>
      <c r="C69" s="216">
        <v>2081902</v>
      </c>
      <c r="D69" s="258">
        <v>713.86</v>
      </c>
    </row>
    <row r="70" spans="1:4" ht="19.5" customHeight="1">
      <c r="A70" s="156" t="s">
        <v>1093</v>
      </c>
      <c r="B70" s="156" t="s">
        <v>1150</v>
      </c>
      <c r="C70" s="216">
        <v>2081902</v>
      </c>
      <c r="D70" s="258">
        <v>166.35</v>
      </c>
    </row>
    <row r="71" spans="1:4" ht="19.5" customHeight="1">
      <c r="A71" s="156" t="s">
        <v>1102</v>
      </c>
      <c r="B71" s="156" t="s">
        <v>1151</v>
      </c>
      <c r="C71" s="216">
        <v>2081902</v>
      </c>
      <c r="D71" s="258">
        <v>90.59</v>
      </c>
    </row>
    <row r="72" spans="1:4" ht="19.5" customHeight="1">
      <c r="A72" s="156" t="s">
        <v>1098</v>
      </c>
      <c r="B72" s="156" t="s">
        <v>1152</v>
      </c>
      <c r="C72" s="214">
        <v>2110301</v>
      </c>
      <c r="D72" s="258">
        <v>9.6</v>
      </c>
    </row>
    <row r="73" spans="1:4" ht="19.5" customHeight="1">
      <c r="A73" s="156" t="s">
        <v>1097</v>
      </c>
      <c r="B73" s="156" t="s">
        <v>1152</v>
      </c>
      <c r="C73" s="214">
        <v>2110301</v>
      </c>
      <c r="D73" s="258">
        <v>10</v>
      </c>
    </row>
    <row r="74" spans="1:4" ht="19.5" customHeight="1">
      <c r="A74" s="156" t="s">
        <v>1102</v>
      </c>
      <c r="B74" s="156" t="s">
        <v>1152</v>
      </c>
      <c r="C74" s="214">
        <v>2110301</v>
      </c>
      <c r="D74" s="258">
        <v>12</v>
      </c>
    </row>
    <row r="75" spans="1:4" ht="19.5" customHeight="1">
      <c r="A75" s="156" t="s">
        <v>1095</v>
      </c>
      <c r="B75" s="156" t="s">
        <v>1152</v>
      </c>
      <c r="C75" s="214">
        <v>2110301</v>
      </c>
      <c r="D75" s="258">
        <v>12</v>
      </c>
    </row>
    <row r="76" spans="1:4" ht="19.5" customHeight="1">
      <c r="A76" s="156" t="s">
        <v>1099</v>
      </c>
      <c r="B76" s="156" t="s">
        <v>1153</v>
      </c>
      <c r="C76" s="214">
        <v>2110301</v>
      </c>
      <c r="D76" s="258">
        <v>12</v>
      </c>
    </row>
    <row r="77" spans="1:7" ht="19.5" customHeight="1">
      <c r="A77" s="156" t="s">
        <v>1103</v>
      </c>
      <c r="B77" s="156" t="s">
        <v>1153</v>
      </c>
      <c r="C77" s="214">
        <v>2110301</v>
      </c>
      <c r="D77" s="258">
        <v>12</v>
      </c>
      <c r="G77" s="265"/>
    </row>
    <row r="78" spans="1:4" ht="19.5" customHeight="1">
      <c r="A78" s="156" t="s">
        <v>1103</v>
      </c>
      <c r="B78" s="156" t="s">
        <v>1154</v>
      </c>
      <c r="C78" s="214">
        <v>2120199</v>
      </c>
      <c r="D78" s="258">
        <v>1400</v>
      </c>
    </row>
    <row r="79" spans="1:4" ht="19.5" customHeight="1">
      <c r="A79" s="156" t="s">
        <v>1101</v>
      </c>
      <c r="B79" s="156" t="s">
        <v>1155</v>
      </c>
      <c r="C79" s="214">
        <v>2120501</v>
      </c>
      <c r="D79" s="258">
        <v>-225</v>
      </c>
    </row>
    <row r="80" spans="1:4" ht="19.5" customHeight="1">
      <c r="A80" s="156" t="s">
        <v>1100</v>
      </c>
      <c r="B80" s="156" t="s">
        <v>1156</v>
      </c>
      <c r="C80" s="214">
        <v>2120501</v>
      </c>
      <c r="D80" s="258">
        <v>184.12</v>
      </c>
    </row>
    <row r="81" spans="1:4" ht="19.5" customHeight="1">
      <c r="A81" s="156" t="s">
        <v>1101</v>
      </c>
      <c r="B81" s="156" t="s">
        <v>814</v>
      </c>
      <c r="C81" s="214">
        <v>2120501</v>
      </c>
      <c r="D81" s="258">
        <v>225</v>
      </c>
    </row>
    <row r="82" spans="1:4" ht="19.5" customHeight="1">
      <c r="A82" s="156" t="s">
        <v>1103</v>
      </c>
      <c r="B82" s="156" t="s">
        <v>1157</v>
      </c>
      <c r="C82" s="214">
        <v>2129999</v>
      </c>
      <c r="D82" s="258">
        <v>600</v>
      </c>
    </row>
    <row r="83" spans="1:4" ht="19.5" customHeight="1">
      <c r="A83" s="156" t="s">
        <v>1093</v>
      </c>
      <c r="B83" s="156" t="s">
        <v>1158</v>
      </c>
      <c r="C83" s="214">
        <v>2130705</v>
      </c>
      <c r="D83" s="258">
        <v>33.51</v>
      </c>
    </row>
    <row r="84" spans="1:4" ht="19.5" customHeight="1">
      <c r="A84" s="156" t="s">
        <v>1095</v>
      </c>
      <c r="B84" s="156" t="s">
        <v>1158</v>
      </c>
      <c r="C84" s="214">
        <v>2130705</v>
      </c>
      <c r="D84" s="258">
        <v>36.7425</v>
      </c>
    </row>
    <row r="85" spans="1:4" ht="19.5" customHeight="1">
      <c r="A85" s="156" t="s">
        <v>1101</v>
      </c>
      <c r="B85" s="156" t="s">
        <v>1158</v>
      </c>
      <c r="C85" s="214">
        <v>2130705</v>
      </c>
      <c r="D85" s="258">
        <v>37.17</v>
      </c>
    </row>
    <row r="86" spans="1:4" ht="19.5" customHeight="1">
      <c r="A86" s="156" t="s">
        <v>1098</v>
      </c>
      <c r="B86" s="156" t="s">
        <v>1158</v>
      </c>
      <c r="C86" s="214">
        <v>2130705</v>
      </c>
      <c r="D86" s="258">
        <v>42.15</v>
      </c>
    </row>
    <row r="87" spans="1:4" ht="19.5" customHeight="1">
      <c r="A87" s="156" t="s">
        <v>1099</v>
      </c>
      <c r="B87" s="156" t="s">
        <v>1158</v>
      </c>
      <c r="C87" s="214">
        <v>2130705</v>
      </c>
      <c r="D87" s="258">
        <v>91.35</v>
      </c>
    </row>
    <row r="88" spans="1:4" ht="19.5" customHeight="1">
      <c r="A88" s="156" t="s">
        <v>1103</v>
      </c>
      <c r="B88" s="156" t="s">
        <v>1158</v>
      </c>
      <c r="C88" s="214">
        <v>2130705</v>
      </c>
      <c r="D88" s="258">
        <v>92.8</v>
      </c>
    </row>
    <row r="89" spans="1:4" ht="19.5" customHeight="1">
      <c r="A89" s="156" t="s">
        <v>1102</v>
      </c>
      <c r="B89" s="156" t="s">
        <v>1158</v>
      </c>
      <c r="C89" s="214">
        <v>2130705</v>
      </c>
      <c r="D89" s="258">
        <v>97.73</v>
      </c>
    </row>
    <row r="90" spans="1:4" ht="19.5" customHeight="1">
      <c r="A90" s="156" t="s">
        <v>1100</v>
      </c>
      <c r="B90" s="156" t="s">
        <v>1158</v>
      </c>
      <c r="C90" s="214">
        <v>2130705</v>
      </c>
      <c r="D90" s="258">
        <v>99.92</v>
      </c>
    </row>
    <row r="91" spans="1:4" ht="19.5" customHeight="1">
      <c r="A91" s="156" t="s">
        <v>1097</v>
      </c>
      <c r="B91" s="156" t="s">
        <v>1158</v>
      </c>
      <c r="C91" s="214">
        <v>2130705</v>
      </c>
      <c r="D91" s="258">
        <v>115.94</v>
      </c>
    </row>
    <row r="92" spans="1:4" s="155" customFormat="1" ht="19.5" customHeight="1">
      <c r="A92" s="156" t="s">
        <v>1102</v>
      </c>
      <c r="B92" s="156" t="s">
        <v>1159</v>
      </c>
      <c r="C92" s="214">
        <v>2149999</v>
      </c>
      <c r="D92" s="258">
        <v>30</v>
      </c>
    </row>
    <row r="93" spans="1:4" ht="19.5" customHeight="1">
      <c r="A93" s="156" t="s">
        <v>1102</v>
      </c>
      <c r="B93" s="156" t="s">
        <v>815</v>
      </c>
      <c r="C93" s="214">
        <v>2160299</v>
      </c>
      <c r="D93" s="258">
        <v>3</v>
      </c>
    </row>
    <row r="94" spans="1:4" ht="19.5" customHeight="1">
      <c r="A94" s="156" t="s">
        <v>1095</v>
      </c>
      <c r="B94" s="156" t="s">
        <v>1160</v>
      </c>
      <c r="C94" s="214">
        <v>2210105</v>
      </c>
      <c r="D94" s="258">
        <v>8.4</v>
      </c>
    </row>
    <row r="95" spans="1:4" ht="19.5" customHeight="1">
      <c r="A95" s="156" t="s">
        <v>1097</v>
      </c>
      <c r="B95" s="156" t="s">
        <v>1161</v>
      </c>
      <c r="C95" s="214">
        <v>2299901</v>
      </c>
      <c r="D95" s="258">
        <v>1</v>
      </c>
    </row>
    <row r="96" spans="1:4" ht="19.5" customHeight="1">
      <c r="A96" s="156" t="s">
        <v>1093</v>
      </c>
      <c r="B96" s="156" t="s">
        <v>1162</v>
      </c>
      <c r="C96" s="214">
        <v>2299901</v>
      </c>
      <c r="D96" s="258">
        <v>4</v>
      </c>
    </row>
    <row r="97" spans="1:4" ht="19.5" customHeight="1">
      <c r="A97" s="156" t="s">
        <v>1100</v>
      </c>
      <c r="B97" s="156" t="s">
        <v>1163</v>
      </c>
      <c r="C97" s="214">
        <v>2299901</v>
      </c>
      <c r="D97" s="258">
        <v>5.2</v>
      </c>
    </row>
    <row r="98" spans="1:4" ht="19.5" customHeight="1">
      <c r="A98" s="156" t="s">
        <v>1102</v>
      </c>
      <c r="B98" s="156" t="s">
        <v>1163</v>
      </c>
      <c r="C98" s="214">
        <v>2299901</v>
      </c>
      <c r="D98" s="258">
        <v>6.69</v>
      </c>
    </row>
    <row r="99" spans="1:4" ht="19.5" customHeight="1">
      <c r="A99" s="156" t="s">
        <v>1099</v>
      </c>
      <c r="B99" s="156" t="s">
        <v>1163</v>
      </c>
      <c r="C99" s="214">
        <v>2299901</v>
      </c>
      <c r="D99" s="258">
        <v>10.57</v>
      </c>
    </row>
    <row r="100" spans="1:4" ht="19.5" customHeight="1">
      <c r="A100" s="156" t="s">
        <v>1102</v>
      </c>
      <c r="B100" s="156" t="s">
        <v>1161</v>
      </c>
      <c r="C100" s="214">
        <v>2299901</v>
      </c>
      <c r="D100" s="258">
        <v>15</v>
      </c>
    </row>
    <row r="101" spans="1:4" ht="19.5" customHeight="1">
      <c r="A101" s="156" t="s">
        <v>1095</v>
      </c>
      <c r="B101" s="156" t="s">
        <v>1161</v>
      </c>
      <c r="C101" s="214">
        <v>2299901</v>
      </c>
      <c r="D101" s="258">
        <v>37</v>
      </c>
    </row>
    <row r="102" spans="1:4" ht="19.5" customHeight="1">
      <c r="A102" s="156" t="s">
        <v>1101</v>
      </c>
      <c r="B102" s="156" t="s">
        <v>1161</v>
      </c>
      <c r="C102" s="214">
        <v>2299901</v>
      </c>
      <c r="D102" s="258">
        <v>253</v>
      </c>
    </row>
    <row r="103" spans="1:4" ht="19.5" customHeight="1">
      <c r="A103" s="156" t="s">
        <v>1098</v>
      </c>
      <c r="B103" s="156" t="s">
        <v>1161</v>
      </c>
      <c r="C103" s="214">
        <v>2299901</v>
      </c>
      <c r="D103" s="258">
        <v>269</v>
      </c>
    </row>
    <row r="104" spans="1:4" ht="19.5" customHeight="1">
      <c r="A104" s="156" t="s">
        <v>1100</v>
      </c>
      <c r="B104" s="156" t="s">
        <v>1162</v>
      </c>
      <c r="C104" s="214">
        <v>2299901</v>
      </c>
      <c r="D104" s="258">
        <v>494</v>
      </c>
    </row>
    <row r="105" spans="1:4" ht="19.5" customHeight="1">
      <c r="A105" s="156" t="s">
        <v>1093</v>
      </c>
      <c r="B105" s="156" t="s">
        <v>1164</v>
      </c>
      <c r="C105" s="214">
        <v>2299901</v>
      </c>
      <c r="D105" s="258">
        <v>744.88</v>
      </c>
    </row>
    <row r="106" spans="1:4" ht="19.5" customHeight="1">
      <c r="A106" s="156" t="s">
        <v>1097</v>
      </c>
      <c r="B106" s="156" t="s">
        <v>1165</v>
      </c>
      <c r="C106" s="214">
        <v>2299901</v>
      </c>
      <c r="D106" s="258">
        <v>2100</v>
      </c>
    </row>
    <row r="107" spans="1:4" ht="19.5" customHeight="1">
      <c r="A107" s="307" t="s">
        <v>1100</v>
      </c>
      <c r="B107" s="307" t="s">
        <v>1164</v>
      </c>
      <c r="C107" s="215">
        <v>2299901</v>
      </c>
      <c r="D107" s="308">
        <v>3306</v>
      </c>
    </row>
    <row r="108" spans="1:4" ht="19.5" customHeight="1">
      <c r="A108" s="384" t="s">
        <v>1302</v>
      </c>
      <c r="B108" s="384"/>
      <c r="C108" s="309"/>
      <c r="D108" s="309">
        <v>0</v>
      </c>
    </row>
    <row r="110" ht="14.25">
      <c r="A110" s="251"/>
    </row>
    <row r="111" ht="14.25">
      <c r="A111" s="251"/>
    </row>
  </sheetData>
  <sheetProtection/>
  <mergeCells count="3">
    <mergeCell ref="A5:B5"/>
    <mergeCell ref="A2:D2"/>
    <mergeCell ref="A108:B108"/>
  </mergeCells>
  <printOptions horizontalCentered="1"/>
  <pageMargins left="0.7480314960629921" right="0.7480314960629921" top="0.4724409448818898" bottom="0.5118110236220472" header="0.31496062992125984" footer="0.2362204724409449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61"/>
  <sheetViews>
    <sheetView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4.25"/>
  <cols>
    <col min="1" max="1" width="39.125" style="169" bestFit="1" customWidth="1"/>
    <col min="2" max="2" width="13.875" style="169" bestFit="1" customWidth="1"/>
    <col min="3" max="3" width="34.625" style="169" bestFit="1" customWidth="1"/>
    <col min="4" max="4" width="12.75390625" style="169" bestFit="1" customWidth="1"/>
    <col min="5" max="5" width="9.00390625" style="169" customWidth="1"/>
    <col min="6" max="6" width="4.25390625" style="169" customWidth="1"/>
    <col min="7" max="16384" width="9.00390625" style="169" customWidth="1"/>
  </cols>
  <sheetData>
    <row r="1" spans="1:3" ht="15">
      <c r="A1" s="74" t="s">
        <v>1299</v>
      </c>
      <c r="B1" s="167"/>
      <c r="C1" s="168"/>
    </row>
    <row r="2" spans="1:4" ht="30" customHeight="1">
      <c r="A2" s="385" t="s">
        <v>1304</v>
      </c>
      <c r="B2" s="386"/>
      <c r="C2" s="386"/>
      <c r="D2" s="386"/>
    </row>
    <row r="3" spans="1:4" ht="15" customHeight="1">
      <c r="A3" s="170"/>
      <c r="B3" s="170"/>
      <c r="C3" s="170"/>
      <c r="D3" s="171" t="s">
        <v>1028</v>
      </c>
    </row>
    <row r="4" spans="1:4" s="173" customFormat="1" ht="19.5" customHeight="1">
      <c r="A4" s="172" t="s">
        <v>1029</v>
      </c>
      <c r="B4" s="172" t="s">
        <v>82</v>
      </c>
      <c r="C4" s="172" t="s">
        <v>1029</v>
      </c>
      <c r="D4" s="172" t="s">
        <v>82</v>
      </c>
    </row>
    <row r="5" spans="1:4" s="173" customFormat="1" ht="19.5" customHeight="1">
      <c r="A5" s="174" t="s">
        <v>1030</v>
      </c>
      <c r="B5" s="175">
        <f>SUM(B6,B16,B44,D5,D21)</f>
        <v>234439</v>
      </c>
      <c r="C5" s="176" t="s">
        <v>746</v>
      </c>
      <c r="D5" s="172">
        <f>SUM(D6:D20)</f>
        <v>2166</v>
      </c>
    </row>
    <row r="6" spans="1:4" s="173" customFormat="1" ht="19.5" customHeight="1">
      <c r="A6" s="177" t="s">
        <v>1031</v>
      </c>
      <c r="B6" s="175">
        <f>SUM(B7:B15)</f>
        <v>142745</v>
      </c>
      <c r="C6" s="178" t="s">
        <v>501</v>
      </c>
      <c r="D6" s="175"/>
    </row>
    <row r="7" spans="1:4" s="173" customFormat="1" ht="19.5" customHeight="1">
      <c r="A7" s="179" t="s">
        <v>739</v>
      </c>
      <c r="B7" s="175">
        <v>32788</v>
      </c>
      <c r="C7" s="178" t="s">
        <v>502</v>
      </c>
      <c r="D7" s="175">
        <v>1994</v>
      </c>
    </row>
    <row r="8" spans="1:4" s="173" customFormat="1" ht="19.5" customHeight="1">
      <c r="A8" s="179" t="s">
        <v>741</v>
      </c>
      <c r="B8" s="175">
        <v>17751</v>
      </c>
      <c r="C8" s="178" t="s">
        <v>503</v>
      </c>
      <c r="D8" s="175"/>
    </row>
    <row r="9" spans="1:4" s="173" customFormat="1" ht="19.5" customHeight="1">
      <c r="A9" s="179" t="s">
        <v>743</v>
      </c>
      <c r="B9" s="175">
        <v>3127</v>
      </c>
      <c r="C9" s="178" t="s">
        <v>504</v>
      </c>
      <c r="D9" s="175"/>
    </row>
    <row r="10" spans="1:4" s="173" customFormat="1" ht="19.5" customHeight="1">
      <c r="A10" s="179" t="s">
        <v>1032</v>
      </c>
      <c r="B10" s="175">
        <v>13121</v>
      </c>
      <c r="C10" s="178" t="s">
        <v>505</v>
      </c>
      <c r="D10" s="175"/>
    </row>
    <row r="11" spans="1:4" s="173" customFormat="1" ht="19.5" customHeight="1">
      <c r="A11" s="179" t="s">
        <v>745</v>
      </c>
      <c r="B11" s="175">
        <v>145</v>
      </c>
      <c r="C11" s="178" t="s">
        <v>1033</v>
      </c>
      <c r="D11" s="175">
        <v>19</v>
      </c>
    </row>
    <row r="12" spans="1:4" s="173" customFormat="1" ht="19.5" customHeight="1">
      <c r="A12" s="179" t="s">
        <v>747</v>
      </c>
      <c r="B12" s="175">
        <v>31661</v>
      </c>
      <c r="C12" s="178" t="s">
        <v>506</v>
      </c>
      <c r="D12" s="175"/>
    </row>
    <row r="13" spans="1:4" s="173" customFormat="1" ht="19.5" customHeight="1">
      <c r="A13" s="179" t="s">
        <v>1034</v>
      </c>
      <c r="B13" s="175">
        <v>15116</v>
      </c>
      <c r="C13" s="178" t="s">
        <v>507</v>
      </c>
      <c r="D13" s="175"/>
    </row>
    <row r="14" spans="1:4" s="173" customFormat="1" ht="19.5" customHeight="1">
      <c r="A14" s="179" t="s">
        <v>1035</v>
      </c>
      <c r="B14" s="175">
        <v>4815</v>
      </c>
      <c r="C14" s="178" t="s">
        <v>508</v>
      </c>
      <c r="D14" s="175"/>
    </row>
    <row r="15" spans="1:4" s="173" customFormat="1" ht="19.5" customHeight="1">
      <c r="A15" s="179" t="s">
        <v>749</v>
      </c>
      <c r="B15" s="175">
        <v>24221</v>
      </c>
      <c r="C15" s="178" t="s">
        <v>509</v>
      </c>
      <c r="D15" s="175"/>
    </row>
    <row r="16" spans="1:4" s="173" customFormat="1" ht="19.5" customHeight="1">
      <c r="A16" s="177" t="s">
        <v>1036</v>
      </c>
      <c r="B16" s="175">
        <f>SUM(B17:B43)</f>
        <v>23776</v>
      </c>
      <c r="C16" s="178" t="s">
        <v>510</v>
      </c>
      <c r="D16" s="175"/>
    </row>
    <row r="17" spans="1:4" s="173" customFormat="1" ht="19.5" customHeight="1">
      <c r="A17" s="179" t="s">
        <v>750</v>
      </c>
      <c r="B17" s="175">
        <v>8673</v>
      </c>
      <c r="C17" s="178" t="s">
        <v>511</v>
      </c>
      <c r="D17" s="175">
        <v>151</v>
      </c>
    </row>
    <row r="18" spans="1:4" s="173" customFormat="1" ht="19.5" customHeight="1">
      <c r="A18" s="179" t="s">
        <v>751</v>
      </c>
      <c r="B18" s="175">
        <v>34</v>
      </c>
      <c r="C18" s="178" t="s">
        <v>512</v>
      </c>
      <c r="D18" s="175"/>
    </row>
    <row r="19" spans="1:4" s="173" customFormat="1" ht="19.5" customHeight="1">
      <c r="A19" s="179" t="s">
        <v>752</v>
      </c>
      <c r="B19" s="175">
        <v>1.25</v>
      </c>
      <c r="C19" s="178" t="s">
        <v>1037</v>
      </c>
      <c r="D19" s="201"/>
    </row>
    <row r="20" spans="1:4" s="173" customFormat="1" ht="19.5" customHeight="1">
      <c r="A20" s="179" t="s">
        <v>753</v>
      </c>
      <c r="B20" s="175">
        <v>1</v>
      </c>
      <c r="C20" s="178" t="s">
        <v>746</v>
      </c>
      <c r="D20" s="208">
        <v>2</v>
      </c>
    </row>
    <row r="21" spans="1:4" s="173" customFormat="1" ht="19.5" customHeight="1">
      <c r="A21" s="179" t="s">
        <v>754</v>
      </c>
      <c r="B21" s="175">
        <v>108</v>
      </c>
      <c r="C21" s="176" t="s">
        <v>748</v>
      </c>
      <c r="D21" s="175">
        <f>SUM(D22:D27)</f>
        <v>0</v>
      </c>
    </row>
    <row r="22" spans="1:4" s="173" customFormat="1" ht="19.5" customHeight="1">
      <c r="A22" s="179" t="s">
        <v>755</v>
      </c>
      <c r="B22" s="175">
        <v>626</v>
      </c>
      <c r="C22" s="178" t="s">
        <v>513</v>
      </c>
      <c r="D22" s="201"/>
    </row>
    <row r="23" spans="1:4" s="173" customFormat="1" ht="19.5" customHeight="1">
      <c r="A23" s="179" t="s">
        <v>756</v>
      </c>
      <c r="B23" s="175">
        <v>97</v>
      </c>
      <c r="C23" s="178" t="s">
        <v>514</v>
      </c>
      <c r="D23" s="175"/>
    </row>
    <row r="24" spans="1:4" s="173" customFormat="1" ht="19.5" customHeight="1">
      <c r="A24" s="179" t="s">
        <v>757</v>
      </c>
      <c r="B24" s="175">
        <v>3177</v>
      </c>
      <c r="C24" s="178" t="s">
        <v>515</v>
      </c>
      <c r="D24" s="201"/>
    </row>
    <row r="25" spans="1:4" s="173" customFormat="1" ht="19.5" customHeight="1">
      <c r="A25" s="179" t="s">
        <v>758</v>
      </c>
      <c r="B25" s="175">
        <v>249.83</v>
      </c>
      <c r="C25" s="178" t="s">
        <v>1038</v>
      </c>
      <c r="D25" s="201"/>
    </row>
    <row r="26" spans="1:4" s="173" customFormat="1" ht="19.5" customHeight="1">
      <c r="A26" s="179" t="s">
        <v>759</v>
      </c>
      <c r="B26" s="175">
        <v>47</v>
      </c>
      <c r="C26" s="178" t="s">
        <v>1039</v>
      </c>
      <c r="D26" s="201"/>
    </row>
    <row r="27" spans="1:4" s="173" customFormat="1" ht="19.5" customHeight="1">
      <c r="A27" s="179" t="s">
        <v>760</v>
      </c>
      <c r="B27" s="175">
        <v>0</v>
      </c>
      <c r="C27" s="178" t="s">
        <v>748</v>
      </c>
      <c r="D27" s="175"/>
    </row>
    <row r="28" spans="1:4" s="173" customFormat="1" ht="19.5" customHeight="1">
      <c r="A28" s="179" t="s">
        <v>761</v>
      </c>
      <c r="B28" s="175">
        <v>2348</v>
      </c>
      <c r="C28" s="180" t="s">
        <v>1040</v>
      </c>
      <c r="D28" s="175">
        <f>SUM(D29:D37)</f>
        <v>691978</v>
      </c>
    </row>
    <row r="29" spans="1:4" s="173" customFormat="1" ht="19.5" customHeight="1">
      <c r="A29" s="179" t="s">
        <v>762</v>
      </c>
      <c r="B29" s="175">
        <v>90</v>
      </c>
      <c r="C29" s="181" t="s">
        <v>738</v>
      </c>
      <c r="D29" s="175"/>
    </row>
    <row r="30" spans="1:4" s="173" customFormat="1" ht="19.5" customHeight="1">
      <c r="A30" s="179" t="s">
        <v>763</v>
      </c>
      <c r="B30" s="175">
        <v>3.03</v>
      </c>
      <c r="C30" s="181" t="s">
        <v>740</v>
      </c>
      <c r="D30" s="175">
        <v>72769</v>
      </c>
    </row>
    <row r="31" spans="1:4" s="173" customFormat="1" ht="19.5" customHeight="1">
      <c r="A31" s="179" t="s">
        <v>764</v>
      </c>
      <c r="B31" s="175">
        <v>942</v>
      </c>
      <c r="C31" s="181" t="s">
        <v>742</v>
      </c>
      <c r="D31" s="175">
        <v>133375</v>
      </c>
    </row>
    <row r="32" spans="1:4" s="173" customFormat="1" ht="19.5" customHeight="1">
      <c r="A32" s="179" t="s">
        <v>765</v>
      </c>
      <c r="B32" s="175">
        <v>76</v>
      </c>
      <c r="C32" s="181" t="s">
        <v>1041</v>
      </c>
      <c r="D32" s="175">
        <v>104516</v>
      </c>
    </row>
    <row r="33" spans="1:4" s="173" customFormat="1" ht="19.5" customHeight="1">
      <c r="A33" s="179" t="s">
        <v>766</v>
      </c>
      <c r="B33" s="175">
        <v>141</v>
      </c>
      <c r="C33" s="181" t="s">
        <v>1042</v>
      </c>
      <c r="D33" s="175">
        <v>7246</v>
      </c>
    </row>
    <row r="34" spans="1:4" s="173" customFormat="1" ht="19.5" customHeight="1">
      <c r="A34" s="179" t="s">
        <v>767</v>
      </c>
      <c r="B34" s="175">
        <v>4.46</v>
      </c>
      <c r="C34" s="181" t="s">
        <v>1043</v>
      </c>
      <c r="D34" s="175">
        <v>10882</v>
      </c>
    </row>
    <row r="35" spans="1:4" s="173" customFormat="1" ht="19.5" customHeight="1">
      <c r="A35" s="179" t="s">
        <v>768</v>
      </c>
      <c r="B35" s="175">
        <v>0</v>
      </c>
      <c r="C35" s="181" t="s">
        <v>744</v>
      </c>
      <c r="D35" s="175"/>
    </row>
    <row r="36" spans="1:4" s="173" customFormat="1" ht="19.5" customHeight="1">
      <c r="A36" s="179" t="s">
        <v>769</v>
      </c>
      <c r="B36" s="175">
        <v>387</v>
      </c>
      <c r="C36" s="182" t="s">
        <v>746</v>
      </c>
      <c r="D36" s="175">
        <v>346790</v>
      </c>
    </row>
    <row r="37" spans="1:4" s="173" customFormat="1" ht="19.5" customHeight="1">
      <c r="A37" s="179" t="s">
        <v>770</v>
      </c>
      <c r="B37" s="175">
        <v>0</v>
      </c>
      <c r="C37" s="182" t="s">
        <v>748</v>
      </c>
      <c r="D37" s="175">
        <v>16400</v>
      </c>
    </row>
    <row r="38" spans="1:4" s="173" customFormat="1" ht="19.5" customHeight="1">
      <c r="A38" s="179" t="s">
        <v>771</v>
      </c>
      <c r="B38" s="175">
        <v>1564</v>
      </c>
      <c r="C38" s="227" t="s">
        <v>1266</v>
      </c>
      <c r="D38" s="175">
        <f>SUM(D39:D47)</f>
        <v>61555</v>
      </c>
    </row>
    <row r="39" spans="1:4" s="173" customFormat="1" ht="19.5" customHeight="1">
      <c r="A39" s="179" t="s">
        <v>772</v>
      </c>
      <c r="B39" s="175">
        <v>2382</v>
      </c>
      <c r="C39" s="181" t="s">
        <v>738</v>
      </c>
      <c r="D39" s="175">
        <v>0</v>
      </c>
    </row>
    <row r="40" spans="1:4" s="173" customFormat="1" ht="19.5" customHeight="1">
      <c r="A40" s="179" t="s">
        <v>773</v>
      </c>
      <c r="B40" s="175">
        <v>77</v>
      </c>
      <c r="C40" s="181" t="s">
        <v>740</v>
      </c>
      <c r="D40" s="175">
        <v>1533</v>
      </c>
    </row>
    <row r="41" spans="1:4" s="173" customFormat="1" ht="19.5" customHeight="1">
      <c r="A41" s="179" t="s">
        <v>774</v>
      </c>
      <c r="B41" s="175">
        <v>1400</v>
      </c>
      <c r="C41" s="181" t="s">
        <v>742</v>
      </c>
      <c r="D41" s="175">
        <v>1385</v>
      </c>
    </row>
    <row r="42" spans="1:4" s="173" customFormat="1" ht="19.5" customHeight="1">
      <c r="A42" s="179" t="s">
        <v>775</v>
      </c>
      <c r="B42" s="175">
        <v>20</v>
      </c>
      <c r="C42" s="181" t="s">
        <v>1041</v>
      </c>
      <c r="D42" s="175">
        <f>53642+3226</f>
        <v>56868</v>
      </c>
    </row>
    <row r="43" spans="1:4" s="173" customFormat="1" ht="19.5" customHeight="1">
      <c r="A43" s="179" t="s">
        <v>776</v>
      </c>
      <c r="B43" s="175">
        <v>1327</v>
      </c>
      <c r="C43" s="181" t="s">
        <v>1042</v>
      </c>
      <c r="D43" s="175">
        <v>0</v>
      </c>
    </row>
    <row r="44" spans="1:4" s="173" customFormat="1" ht="19.5" customHeight="1">
      <c r="A44" s="177" t="s">
        <v>1044</v>
      </c>
      <c r="B44" s="175">
        <f>SUM(B45:B60)+1</f>
        <v>65752</v>
      </c>
      <c r="C44" s="181" t="s">
        <v>1043</v>
      </c>
      <c r="D44" s="175">
        <v>0</v>
      </c>
    </row>
    <row r="45" spans="1:4" s="173" customFormat="1" ht="19.5" customHeight="1">
      <c r="A45" s="179" t="s">
        <v>777</v>
      </c>
      <c r="B45" s="175">
        <v>595</v>
      </c>
      <c r="C45" s="181" t="s">
        <v>744</v>
      </c>
      <c r="D45" s="175">
        <v>0</v>
      </c>
    </row>
    <row r="46" spans="1:4" s="173" customFormat="1" ht="19.5" customHeight="1">
      <c r="A46" s="179" t="s">
        <v>778</v>
      </c>
      <c r="B46" s="175">
        <v>306</v>
      </c>
      <c r="C46" s="182" t="s">
        <v>746</v>
      </c>
      <c r="D46" s="175">
        <v>1769</v>
      </c>
    </row>
    <row r="47" spans="1:4" s="173" customFormat="1" ht="19.5" customHeight="1">
      <c r="A47" s="179" t="s">
        <v>779</v>
      </c>
      <c r="B47" s="175">
        <v>8</v>
      </c>
      <c r="C47" s="182" t="s">
        <v>748</v>
      </c>
      <c r="D47" s="211"/>
    </row>
    <row r="48" spans="1:4" s="173" customFormat="1" ht="19.5" customHeight="1">
      <c r="A48" s="179" t="s">
        <v>780</v>
      </c>
      <c r="B48" s="175">
        <v>586</v>
      </c>
      <c r="C48" s="180" t="s">
        <v>1045</v>
      </c>
      <c r="D48" s="201"/>
    </row>
    <row r="49" spans="1:4" s="173" customFormat="1" ht="19.5" customHeight="1">
      <c r="A49" s="179" t="s">
        <v>781</v>
      </c>
      <c r="B49" s="175">
        <v>195</v>
      </c>
      <c r="C49" s="182" t="s">
        <v>748</v>
      </c>
      <c r="D49" s="175"/>
    </row>
    <row r="50" spans="1:4" s="173" customFormat="1" ht="19.5" customHeight="1">
      <c r="A50" s="179" t="s">
        <v>782</v>
      </c>
      <c r="B50" s="175">
        <v>33</v>
      </c>
      <c r="C50" s="175"/>
      <c r="D50" s="201"/>
    </row>
    <row r="51" spans="1:4" s="173" customFormat="1" ht="19.5" customHeight="1">
      <c r="A51" s="179" t="s">
        <v>783</v>
      </c>
      <c r="B51" s="175">
        <v>3205</v>
      </c>
      <c r="C51" s="175"/>
      <c r="D51" s="201"/>
    </row>
    <row r="52" spans="1:4" s="173" customFormat="1" ht="19.5" customHeight="1">
      <c r="A52" s="179" t="s">
        <v>784</v>
      </c>
      <c r="B52" s="175">
        <v>78</v>
      </c>
      <c r="C52" s="175"/>
      <c r="D52" s="201"/>
    </row>
    <row r="53" spans="1:4" s="173" customFormat="1" ht="19.5" customHeight="1">
      <c r="A53" s="179" t="s">
        <v>785</v>
      </c>
      <c r="B53" s="175">
        <v>11</v>
      </c>
      <c r="C53" s="175"/>
      <c r="D53" s="201"/>
    </row>
    <row r="54" spans="1:4" s="173" customFormat="1" ht="19.5" customHeight="1">
      <c r="A54" s="179" t="s">
        <v>786</v>
      </c>
      <c r="B54" s="175">
        <v>0</v>
      </c>
      <c r="C54" s="175"/>
      <c r="D54" s="201"/>
    </row>
    <row r="55" spans="1:4" s="173" customFormat="1" ht="19.5" customHeight="1">
      <c r="A55" s="179" t="s">
        <v>787</v>
      </c>
      <c r="B55" s="175">
        <v>46695</v>
      </c>
      <c r="C55" s="175"/>
      <c r="D55" s="201"/>
    </row>
    <row r="56" spans="1:4" s="173" customFormat="1" ht="19.5" customHeight="1">
      <c r="A56" s="179" t="s">
        <v>788</v>
      </c>
      <c r="B56" s="175">
        <v>317</v>
      </c>
      <c r="C56" s="175"/>
      <c r="D56" s="201"/>
    </row>
    <row r="57" spans="1:4" s="173" customFormat="1" ht="19.5" customHeight="1">
      <c r="A57" s="179" t="s">
        <v>789</v>
      </c>
      <c r="B57" s="175">
        <v>506</v>
      </c>
      <c r="C57" s="175"/>
      <c r="D57" s="201"/>
    </row>
    <row r="58" spans="1:4" s="173" customFormat="1" ht="19.5" customHeight="1">
      <c r="A58" s="179" t="s">
        <v>790</v>
      </c>
      <c r="B58" s="175">
        <v>1689</v>
      </c>
      <c r="C58" s="175"/>
      <c r="D58" s="201"/>
    </row>
    <row r="59" spans="1:4" s="173" customFormat="1" ht="19.5" customHeight="1">
      <c r="A59" s="179" t="s">
        <v>791</v>
      </c>
      <c r="B59" s="175">
        <v>2293</v>
      </c>
      <c r="C59" s="175"/>
      <c r="D59" s="201"/>
    </row>
    <row r="60" spans="1:4" s="173" customFormat="1" ht="19.5" customHeight="1">
      <c r="A60" s="179" t="s">
        <v>792</v>
      </c>
      <c r="B60" s="175">
        <v>9234</v>
      </c>
      <c r="C60" s="172" t="s">
        <v>1046</v>
      </c>
      <c r="D60" s="221">
        <f>SUM(B5,D28,D38,D48)</f>
        <v>987972</v>
      </c>
    </row>
    <row r="61" spans="1:3" s="173" customFormat="1" ht="19.5" customHeight="1">
      <c r="A61" s="169"/>
      <c r="B61" s="169"/>
      <c r="C61" s="169"/>
    </row>
  </sheetData>
  <sheetProtection/>
  <mergeCells count="1">
    <mergeCell ref="A2:D2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6:K17"/>
  <sheetViews>
    <sheetView zoomScalePageLayoutView="0" workbookViewId="0" topLeftCell="A1">
      <selection activeCell="T38" sqref="T38"/>
    </sheetView>
  </sheetViews>
  <sheetFormatPr defaultColWidth="9.00390625" defaultRowHeight="14.25"/>
  <cols>
    <col min="1" max="16384" width="9.00390625" style="9" customWidth="1"/>
  </cols>
  <sheetData>
    <row r="6" spans="1:11" ht="35.25">
      <c r="A6" s="357" t="s">
        <v>807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15" ht="20.25">
      <c r="D15" s="38" t="s">
        <v>73</v>
      </c>
    </row>
    <row r="16" ht="20.25">
      <c r="D16" s="39"/>
    </row>
    <row r="17" ht="20.25">
      <c r="D17" s="38" t="s">
        <v>695</v>
      </c>
    </row>
  </sheetData>
  <sheetProtection/>
  <mergeCells count="1">
    <mergeCell ref="A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4.25"/>
  <cols>
    <col min="1" max="1" width="39.625" style="21" customWidth="1"/>
    <col min="2" max="2" width="12.625" style="21" customWidth="1"/>
    <col min="3" max="5" width="12.625" style="24" customWidth="1"/>
    <col min="6" max="6" width="12.625" style="21" customWidth="1"/>
    <col min="7" max="7" width="12.625" style="21" hidden="1" customWidth="1"/>
    <col min="8" max="8" width="12.625" style="21" customWidth="1"/>
    <col min="9" max="16384" width="9.00390625" style="21" customWidth="1"/>
  </cols>
  <sheetData>
    <row r="1" ht="12.75">
      <c r="A1" s="1" t="s">
        <v>1300</v>
      </c>
    </row>
    <row r="2" spans="1:8" ht="20.25">
      <c r="A2" s="387" t="s">
        <v>810</v>
      </c>
      <c r="B2" s="387"/>
      <c r="C2" s="387"/>
      <c r="D2" s="387"/>
      <c r="E2" s="387"/>
      <c r="F2" s="387"/>
      <c r="G2" s="387"/>
      <c r="H2" s="387"/>
    </row>
    <row r="3" spans="1:8" s="30" customFormat="1" ht="23.25" customHeight="1">
      <c r="A3" s="25"/>
      <c r="B3" s="26"/>
      <c r="C3" s="27"/>
      <c r="D3" s="28"/>
      <c r="E3" s="27"/>
      <c r="F3" s="29"/>
      <c r="G3" s="26"/>
      <c r="H3" s="8" t="s">
        <v>640</v>
      </c>
    </row>
    <row r="4" spans="1:8" s="133" customFormat="1" ht="36.75" customHeight="1">
      <c r="A4" s="129" t="s">
        <v>40</v>
      </c>
      <c r="B4" s="130" t="s">
        <v>41</v>
      </c>
      <c r="C4" s="131" t="s">
        <v>42</v>
      </c>
      <c r="D4" s="131" t="s">
        <v>43</v>
      </c>
      <c r="E4" s="131" t="s">
        <v>44</v>
      </c>
      <c r="F4" s="132" t="s">
        <v>45</v>
      </c>
      <c r="G4" s="147" t="s">
        <v>80</v>
      </c>
      <c r="H4" s="148" t="s">
        <v>809</v>
      </c>
    </row>
    <row r="5" spans="1:8" s="99" customFormat="1" ht="19.5" customHeight="1">
      <c r="A5" s="89" t="s">
        <v>46</v>
      </c>
      <c r="B5" s="100">
        <f>SUM(B6:B10)</f>
        <v>244482</v>
      </c>
      <c r="C5" s="101">
        <f>SUM(C6:C10)</f>
        <v>13873</v>
      </c>
      <c r="D5" s="101">
        <f>SUM(D6:D10)</f>
        <v>38123</v>
      </c>
      <c r="E5" s="102">
        <f aca="true" t="shared" si="0" ref="E5:E27">IF(B5=0,0,D5/B5*100)</f>
        <v>15.59</v>
      </c>
      <c r="F5" s="91">
        <f aca="true" t="shared" si="1" ref="F5:F27">IF(C5=0,0,D5/C5*100)</f>
        <v>274.8</v>
      </c>
      <c r="G5" s="100">
        <f>SUM(G6:G10)</f>
        <v>276706</v>
      </c>
      <c r="H5" s="91">
        <f aca="true" t="shared" si="2" ref="H5:H27">IF(G5=0,0,(D5/G5)*100)</f>
        <v>13.78</v>
      </c>
    </row>
    <row r="6" spans="1:8" s="99" customFormat="1" ht="19.5" customHeight="1">
      <c r="A6" s="96" t="s">
        <v>47</v>
      </c>
      <c r="B6" s="142">
        <v>0</v>
      </c>
      <c r="C6" s="143"/>
      <c r="D6" s="101"/>
      <c r="E6" s="102">
        <f t="shared" si="0"/>
        <v>0</v>
      </c>
      <c r="F6" s="91">
        <f t="shared" si="1"/>
        <v>0</v>
      </c>
      <c r="G6" s="142">
        <v>1</v>
      </c>
      <c r="H6" s="91">
        <f t="shared" si="2"/>
        <v>0</v>
      </c>
    </row>
    <row r="7" spans="1:8" s="99" customFormat="1" ht="19.5" customHeight="1">
      <c r="A7" s="103" t="s">
        <v>48</v>
      </c>
      <c r="B7" s="142">
        <v>0</v>
      </c>
      <c r="C7" s="143">
        <v>130</v>
      </c>
      <c r="D7" s="143">
        <v>130</v>
      </c>
      <c r="E7" s="102">
        <f t="shared" si="0"/>
        <v>0</v>
      </c>
      <c r="F7" s="91">
        <f t="shared" si="1"/>
        <v>100</v>
      </c>
      <c r="G7" s="142">
        <v>265</v>
      </c>
      <c r="H7" s="91">
        <f t="shared" si="2"/>
        <v>49.06</v>
      </c>
    </row>
    <row r="8" spans="1:8" s="99" customFormat="1" ht="19.5" customHeight="1">
      <c r="A8" s="103" t="s">
        <v>49</v>
      </c>
      <c r="B8" s="142">
        <v>3452</v>
      </c>
      <c r="C8" s="143">
        <v>4196</v>
      </c>
      <c r="D8" s="143">
        <v>4258</v>
      </c>
      <c r="E8" s="102">
        <f t="shared" si="0"/>
        <v>123.35</v>
      </c>
      <c r="F8" s="91">
        <f t="shared" si="1"/>
        <v>101.48</v>
      </c>
      <c r="G8" s="142">
        <v>345</v>
      </c>
      <c r="H8" s="91">
        <f t="shared" si="2"/>
        <v>1234.2</v>
      </c>
    </row>
    <row r="9" spans="1:8" s="99" customFormat="1" ht="19.5" customHeight="1">
      <c r="A9" s="104" t="s">
        <v>50</v>
      </c>
      <c r="B9" s="144">
        <v>23014</v>
      </c>
      <c r="C9" s="143">
        <v>5044</v>
      </c>
      <c r="D9" s="143">
        <v>5458</v>
      </c>
      <c r="E9" s="102">
        <f t="shared" si="0"/>
        <v>23.72</v>
      </c>
      <c r="F9" s="91">
        <f t="shared" si="1"/>
        <v>108.21</v>
      </c>
      <c r="G9" s="142">
        <v>1177</v>
      </c>
      <c r="H9" s="91">
        <f t="shared" si="2"/>
        <v>463.72</v>
      </c>
    </row>
    <row r="10" spans="1:8" s="99" customFormat="1" ht="19.5" customHeight="1">
      <c r="A10" s="103" t="s">
        <v>51</v>
      </c>
      <c r="B10" s="100">
        <f>SUM(B11:B14)</f>
        <v>218016</v>
      </c>
      <c r="C10" s="100">
        <v>4503</v>
      </c>
      <c r="D10" s="100">
        <f>SUM(D11:D14)</f>
        <v>28277</v>
      </c>
      <c r="E10" s="102">
        <f t="shared" si="0"/>
        <v>12.97</v>
      </c>
      <c r="F10" s="91">
        <f t="shared" si="1"/>
        <v>627.96</v>
      </c>
      <c r="G10" s="100">
        <f>SUM(G11:G14)</f>
        <v>274918</v>
      </c>
      <c r="H10" s="91">
        <f t="shared" si="2"/>
        <v>10.29</v>
      </c>
    </row>
    <row r="11" spans="1:8" s="99" customFormat="1" ht="19.5" customHeight="1">
      <c r="A11" s="97" t="s">
        <v>52</v>
      </c>
      <c r="B11" s="142">
        <v>61887</v>
      </c>
      <c r="C11" s="143">
        <v>-30186</v>
      </c>
      <c r="D11" s="143">
        <v>-4895</v>
      </c>
      <c r="E11" s="102">
        <f t="shared" si="0"/>
        <v>-7.91</v>
      </c>
      <c r="F11" s="91">
        <f t="shared" si="1"/>
        <v>16.22</v>
      </c>
      <c r="G11" s="142">
        <v>133875</v>
      </c>
      <c r="H11" s="91">
        <f t="shared" si="2"/>
        <v>-3.66</v>
      </c>
    </row>
    <row r="12" spans="1:8" s="99" customFormat="1" ht="19.5" customHeight="1">
      <c r="A12" s="97" t="s">
        <v>53</v>
      </c>
      <c r="B12" s="142">
        <f>156129</f>
        <v>156129</v>
      </c>
      <c r="C12" s="143">
        <v>33939</v>
      </c>
      <c r="D12" s="143">
        <v>32634</v>
      </c>
      <c r="E12" s="102">
        <f t="shared" si="0"/>
        <v>20.9</v>
      </c>
      <c r="F12" s="91">
        <f t="shared" si="1"/>
        <v>96.15</v>
      </c>
      <c r="G12" s="142">
        <v>141556</v>
      </c>
      <c r="H12" s="91">
        <f t="shared" si="2"/>
        <v>23.05</v>
      </c>
    </row>
    <row r="13" spans="1:8" s="99" customFormat="1" ht="19.5" customHeight="1">
      <c r="A13" s="97" t="s">
        <v>54</v>
      </c>
      <c r="B13" s="142"/>
      <c r="C13" s="143">
        <v>-1648</v>
      </c>
      <c r="D13" s="143">
        <v>-2227</v>
      </c>
      <c r="E13" s="102">
        <f t="shared" si="0"/>
        <v>0</v>
      </c>
      <c r="F13" s="91">
        <f t="shared" si="1"/>
        <v>135.13</v>
      </c>
      <c r="G13" s="142">
        <v>-5210</v>
      </c>
      <c r="H13" s="91">
        <f t="shared" si="2"/>
        <v>42.74</v>
      </c>
    </row>
    <row r="14" spans="1:8" s="99" customFormat="1" ht="19.5" customHeight="1">
      <c r="A14" s="97" t="s">
        <v>55</v>
      </c>
      <c r="B14" s="142"/>
      <c r="C14" s="143">
        <v>2397</v>
      </c>
      <c r="D14" s="143">
        <v>2765</v>
      </c>
      <c r="E14" s="102">
        <f t="shared" si="0"/>
        <v>0</v>
      </c>
      <c r="F14" s="91">
        <f t="shared" si="1"/>
        <v>115.35</v>
      </c>
      <c r="G14" s="142">
        <v>4697</v>
      </c>
      <c r="H14" s="91">
        <f t="shared" si="2"/>
        <v>58.87</v>
      </c>
    </row>
    <row r="15" spans="1:8" s="99" customFormat="1" ht="19.5" customHeight="1">
      <c r="A15" s="89" t="s">
        <v>56</v>
      </c>
      <c r="B15" s="100">
        <f>SUM(B16:B18)</f>
        <v>28923</v>
      </c>
      <c r="C15" s="100">
        <f>SUM(C16:C18)</f>
        <v>108572</v>
      </c>
      <c r="D15" s="100">
        <f>SUM(D16:D18)</f>
        <v>109340</v>
      </c>
      <c r="E15" s="102">
        <f t="shared" si="0"/>
        <v>378.04</v>
      </c>
      <c r="F15" s="91">
        <f t="shared" si="1"/>
        <v>100.71</v>
      </c>
      <c r="G15" s="100">
        <f>SUM(G16:G18)</f>
        <v>116732</v>
      </c>
      <c r="H15" s="91">
        <f t="shared" si="2"/>
        <v>93.67</v>
      </c>
    </row>
    <row r="16" spans="1:8" s="99" customFormat="1" ht="19.5" customHeight="1">
      <c r="A16" s="96" t="s">
        <v>57</v>
      </c>
      <c r="B16" s="142"/>
      <c r="C16" s="142">
        <v>1294</v>
      </c>
      <c r="D16" s="142">
        <v>2062</v>
      </c>
      <c r="E16" s="101">
        <f t="shared" si="0"/>
        <v>0</v>
      </c>
      <c r="F16" s="91">
        <f t="shared" si="1"/>
        <v>159.35</v>
      </c>
      <c r="G16" s="149">
        <v>54187</v>
      </c>
      <c r="H16" s="91">
        <f t="shared" si="2"/>
        <v>3.81</v>
      </c>
    </row>
    <row r="17" spans="1:8" s="99" customFormat="1" ht="19.5" customHeight="1">
      <c r="A17" s="96" t="s">
        <v>58</v>
      </c>
      <c r="B17" s="142">
        <v>13643</v>
      </c>
      <c r="C17" s="142">
        <f>90990</f>
        <v>90990</v>
      </c>
      <c r="D17" s="142">
        <f>90990</f>
        <v>90990</v>
      </c>
      <c r="E17" s="102">
        <f t="shared" si="0"/>
        <v>666.94</v>
      </c>
      <c r="F17" s="91">
        <f t="shared" si="1"/>
        <v>100</v>
      </c>
      <c r="G17" s="142">
        <v>57975</v>
      </c>
      <c r="H17" s="91">
        <f t="shared" si="2"/>
        <v>156.95</v>
      </c>
    </row>
    <row r="18" spans="1:8" s="99" customFormat="1" ht="19.5" customHeight="1">
      <c r="A18" s="96" t="s">
        <v>59</v>
      </c>
      <c r="B18" s="142">
        <f>575+14705</f>
        <v>15280</v>
      </c>
      <c r="C18" s="142">
        <v>16288</v>
      </c>
      <c r="D18" s="142">
        <v>16288</v>
      </c>
      <c r="E18" s="102">
        <f t="shared" si="0"/>
        <v>106.6</v>
      </c>
      <c r="F18" s="91">
        <f t="shared" si="1"/>
        <v>100</v>
      </c>
      <c r="G18" s="142">
        <f>3914.617711+655.16</f>
        <v>4570</v>
      </c>
      <c r="H18" s="91">
        <f t="shared" si="2"/>
        <v>356.41</v>
      </c>
    </row>
    <row r="19" spans="1:8" s="99" customFormat="1" ht="19.5" customHeight="1">
      <c r="A19" s="106" t="s">
        <v>60</v>
      </c>
      <c r="B19" s="100">
        <f>SUM(B20:B22)</f>
        <v>0</v>
      </c>
      <c r="C19" s="100">
        <f>SUM(C20:C22)</f>
        <v>7610</v>
      </c>
      <c r="D19" s="100">
        <f>SUM(D20:D22)</f>
        <v>7610</v>
      </c>
      <c r="E19" s="102">
        <f t="shared" si="0"/>
        <v>0</v>
      </c>
      <c r="F19" s="91">
        <f t="shared" si="1"/>
        <v>100</v>
      </c>
      <c r="G19" s="100">
        <f>SUM(G20:G22)</f>
        <v>40403</v>
      </c>
      <c r="H19" s="91">
        <f t="shared" si="2"/>
        <v>18.84</v>
      </c>
    </row>
    <row r="20" spans="1:8" s="99" customFormat="1" ht="19.5" customHeight="1">
      <c r="A20" s="96" t="s">
        <v>61</v>
      </c>
      <c r="B20" s="100"/>
      <c r="C20" s="101"/>
      <c r="D20" s="101"/>
      <c r="E20" s="102">
        <f t="shared" si="0"/>
        <v>0</v>
      </c>
      <c r="F20" s="91">
        <f t="shared" si="1"/>
        <v>0</v>
      </c>
      <c r="G20" s="100"/>
      <c r="H20" s="91">
        <f t="shared" si="2"/>
        <v>0</v>
      </c>
    </row>
    <row r="21" spans="1:8" s="99" customFormat="1" ht="19.5" customHeight="1">
      <c r="A21" s="96" t="s">
        <v>62</v>
      </c>
      <c r="B21" s="100"/>
      <c r="C21" s="145">
        <v>2069</v>
      </c>
      <c r="D21" s="145">
        <v>2069</v>
      </c>
      <c r="E21" s="102">
        <f t="shared" si="0"/>
        <v>0</v>
      </c>
      <c r="F21" s="91">
        <f t="shared" si="1"/>
        <v>100</v>
      </c>
      <c r="G21" s="142">
        <v>40403</v>
      </c>
      <c r="H21" s="91">
        <f t="shared" si="2"/>
        <v>5.12</v>
      </c>
    </row>
    <row r="22" spans="1:8" s="99" customFormat="1" ht="19.5" customHeight="1">
      <c r="A22" s="146" t="s">
        <v>808</v>
      </c>
      <c r="B22" s="142"/>
      <c r="C22" s="145">
        <v>5541</v>
      </c>
      <c r="D22" s="145">
        <v>5541</v>
      </c>
      <c r="E22" s="102">
        <f t="shared" si="0"/>
        <v>0</v>
      </c>
      <c r="F22" s="91">
        <f t="shared" si="1"/>
        <v>100</v>
      </c>
      <c r="G22" s="100"/>
      <c r="H22" s="91">
        <f t="shared" si="2"/>
        <v>0</v>
      </c>
    </row>
    <row r="23" spans="1:8" s="99" customFormat="1" ht="19.5" customHeight="1">
      <c r="A23" s="89" t="s">
        <v>63</v>
      </c>
      <c r="B23" s="100">
        <f>SUM(B5+B15-B19)</f>
        <v>273405</v>
      </c>
      <c r="C23" s="100">
        <f>SUM(C5+C15-C19)</f>
        <v>114835</v>
      </c>
      <c r="D23" s="100">
        <f>SUM(D5+D15-D19)</f>
        <v>139853</v>
      </c>
      <c r="E23" s="102">
        <f t="shared" si="0"/>
        <v>51.15</v>
      </c>
      <c r="F23" s="91">
        <f t="shared" si="1"/>
        <v>121.79</v>
      </c>
      <c r="G23" s="100">
        <f>SUM(G5+G15-G19)</f>
        <v>353035</v>
      </c>
      <c r="H23" s="91">
        <f t="shared" si="2"/>
        <v>39.61</v>
      </c>
    </row>
    <row r="24" spans="1:8" s="99" customFormat="1" ht="19.5" customHeight="1">
      <c r="A24" s="106" t="s">
        <v>64</v>
      </c>
      <c r="B24" s="105">
        <f>SUM(B25:B26)</f>
        <v>0</v>
      </c>
      <c r="C24" s="105">
        <f>SUM(C25:C26)</f>
        <v>246800</v>
      </c>
      <c r="D24" s="105">
        <f>SUM(D25:D26)</f>
        <v>246800</v>
      </c>
      <c r="E24" s="102">
        <f t="shared" si="0"/>
        <v>0</v>
      </c>
      <c r="F24" s="91">
        <f t="shared" si="1"/>
        <v>100</v>
      </c>
      <c r="G24" s="100">
        <f>SUM(G25:G26)</f>
        <v>380600</v>
      </c>
      <c r="H24" s="91">
        <f t="shared" si="2"/>
        <v>64.84</v>
      </c>
    </row>
    <row r="25" spans="1:8" s="99" customFormat="1" ht="19.5" customHeight="1">
      <c r="A25" s="96" t="s">
        <v>683</v>
      </c>
      <c r="B25" s="100"/>
      <c r="C25" s="145">
        <v>200000</v>
      </c>
      <c r="D25" s="145">
        <v>200000</v>
      </c>
      <c r="E25" s="102">
        <f t="shared" si="0"/>
        <v>0</v>
      </c>
      <c r="F25" s="91">
        <f t="shared" si="1"/>
        <v>100</v>
      </c>
      <c r="G25" s="100"/>
      <c r="H25" s="91">
        <f t="shared" si="2"/>
        <v>0</v>
      </c>
    </row>
    <row r="26" spans="1:8" s="99" customFormat="1" ht="19.5" customHeight="1">
      <c r="A26" s="96" t="s">
        <v>684</v>
      </c>
      <c r="B26" s="100"/>
      <c r="C26" s="145">
        <v>46800</v>
      </c>
      <c r="D26" s="145">
        <v>46800</v>
      </c>
      <c r="E26" s="102">
        <f t="shared" si="0"/>
        <v>0</v>
      </c>
      <c r="F26" s="91">
        <f t="shared" si="1"/>
        <v>100</v>
      </c>
      <c r="G26" s="142">
        <f>346600+34000</f>
        <v>380600</v>
      </c>
      <c r="H26" s="91">
        <f t="shared" si="2"/>
        <v>12.3</v>
      </c>
    </row>
    <row r="27" spans="1:8" s="99" customFormat="1" ht="19.5" customHeight="1">
      <c r="A27" s="98" t="s">
        <v>65</v>
      </c>
      <c r="B27" s="100">
        <f>SUM(B23:B24)</f>
        <v>273405</v>
      </c>
      <c r="C27" s="100">
        <f>SUM(C23:C24)</f>
        <v>361635</v>
      </c>
      <c r="D27" s="100">
        <f>SUM(D23:D24)</f>
        <v>386653</v>
      </c>
      <c r="E27" s="102">
        <f t="shared" si="0"/>
        <v>141.42</v>
      </c>
      <c r="F27" s="91">
        <f t="shared" si="1"/>
        <v>106.92</v>
      </c>
      <c r="G27" s="107">
        <f>SUM(G23:G24)</f>
        <v>733635</v>
      </c>
      <c r="H27" s="91">
        <f t="shared" si="2"/>
        <v>52.7</v>
      </c>
    </row>
    <row r="28" spans="2:8" s="30" customFormat="1" ht="18.75">
      <c r="B28" s="31"/>
      <c r="C28" s="32"/>
      <c r="D28" s="32"/>
      <c r="E28" s="32"/>
      <c r="F28" s="31"/>
      <c r="G28" s="31"/>
      <c r="H28" s="31"/>
    </row>
    <row r="29" spans="2:8" s="30" customFormat="1" ht="18.75">
      <c r="B29" s="31"/>
      <c r="C29" s="32"/>
      <c r="D29" s="32"/>
      <c r="E29" s="32"/>
      <c r="F29" s="31"/>
      <c r="G29" s="31"/>
      <c r="H29" s="31"/>
    </row>
    <row r="30" spans="2:8" s="30" customFormat="1" ht="18.75">
      <c r="B30" s="31"/>
      <c r="C30" s="32"/>
      <c r="D30" s="32"/>
      <c r="E30" s="32"/>
      <c r="F30" s="31"/>
      <c r="G30" s="31"/>
      <c r="H30" s="31"/>
    </row>
    <row r="31" spans="2:8" s="30" customFormat="1" ht="18.75">
      <c r="B31" s="31"/>
      <c r="C31" s="32"/>
      <c r="D31" s="32"/>
      <c r="E31" s="32"/>
      <c r="F31" s="31"/>
      <c r="G31" s="31"/>
      <c r="H31" s="31"/>
    </row>
    <row r="32" spans="2:8" s="30" customFormat="1" ht="18.75">
      <c r="B32" s="31"/>
      <c r="C32" s="32"/>
      <c r="D32" s="32"/>
      <c r="E32" s="32"/>
      <c r="F32" s="31"/>
      <c r="G32" s="31"/>
      <c r="H32" s="31"/>
    </row>
    <row r="33" spans="2:8" s="30" customFormat="1" ht="18.75">
      <c r="B33" s="31"/>
      <c r="C33" s="32"/>
      <c r="D33" s="32"/>
      <c r="E33" s="32"/>
      <c r="F33" s="31"/>
      <c r="G33" s="31"/>
      <c r="H33" s="31"/>
    </row>
    <row r="34" spans="2:8" s="30" customFormat="1" ht="18.75">
      <c r="B34" s="31"/>
      <c r="C34" s="32"/>
      <c r="D34" s="32"/>
      <c r="E34" s="32"/>
      <c r="F34" s="31"/>
      <c r="G34" s="31"/>
      <c r="H34" s="31"/>
    </row>
    <row r="35" spans="2:8" s="30" customFormat="1" ht="18.75">
      <c r="B35" s="31"/>
      <c r="C35" s="32"/>
      <c r="D35" s="32"/>
      <c r="E35" s="32"/>
      <c r="F35" s="31"/>
      <c r="G35" s="31"/>
      <c r="H35" s="31"/>
    </row>
    <row r="36" spans="2:8" s="30" customFormat="1" ht="18.75">
      <c r="B36" s="31"/>
      <c r="C36" s="32"/>
      <c r="D36" s="32"/>
      <c r="E36" s="32"/>
      <c r="F36" s="31"/>
      <c r="G36" s="31"/>
      <c r="H36" s="31"/>
    </row>
    <row r="37" spans="2:8" s="30" customFormat="1" ht="18.75">
      <c r="B37" s="31"/>
      <c r="C37" s="32"/>
      <c r="D37" s="32"/>
      <c r="E37" s="32"/>
      <c r="F37" s="31"/>
      <c r="G37" s="31"/>
      <c r="H37" s="31"/>
    </row>
    <row r="38" spans="2:8" s="30" customFormat="1" ht="18.75">
      <c r="B38" s="31"/>
      <c r="C38" s="32"/>
      <c r="D38" s="32"/>
      <c r="E38" s="32"/>
      <c r="F38" s="31"/>
      <c r="G38" s="31"/>
      <c r="H38" s="31"/>
    </row>
    <row r="39" spans="2:8" s="30" customFormat="1" ht="18.75">
      <c r="B39" s="31"/>
      <c r="C39" s="32"/>
      <c r="D39" s="32"/>
      <c r="E39" s="32"/>
      <c r="F39" s="31"/>
      <c r="G39" s="31"/>
      <c r="H39" s="31"/>
    </row>
    <row r="40" spans="2:8" s="30" customFormat="1" ht="18.75">
      <c r="B40" s="31"/>
      <c r="C40" s="32"/>
      <c r="D40" s="32"/>
      <c r="E40" s="32"/>
      <c r="F40" s="31"/>
      <c r="G40" s="31"/>
      <c r="H40" s="31"/>
    </row>
    <row r="41" spans="2:8" s="30" customFormat="1" ht="18.75">
      <c r="B41" s="31"/>
      <c r="C41" s="32"/>
      <c r="D41" s="32"/>
      <c r="E41" s="32"/>
      <c r="F41" s="31"/>
      <c r="G41" s="31"/>
      <c r="H41" s="31"/>
    </row>
    <row r="42" spans="2:8" s="30" customFormat="1" ht="18.75">
      <c r="B42" s="31"/>
      <c r="C42" s="32"/>
      <c r="D42" s="32"/>
      <c r="E42" s="32"/>
      <c r="F42" s="31"/>
      <c r="G42" s="31"/>
      <c r="H42" s="31"/>
    </row>
    <row r="43" spans="2:8" s="30" customFormat="1" ht="18.75">
      <c r="B43" s="31"/>
      <c r="C43" s="32"/>
      <c r="D43" s="32"/>
      <c r="E43" s="32"/>
      <c r="F43" s="31"/>
      <c r="G43" s="31"/>
      <c r="H43" s="31"/>
    </row>
    <row r="44" spans="2:8" s="30" customFormat="1" ht="18.75">
      <c r="B44" s="31"/>
      <c r="C44" s="32"/>
      <c r="D44" s="32"/>
      <c r="E44" s="32"/>
      <c r="F44" s="31"/>
      <c r="G44" s="31"/>
      <c r="H44" s="31"/>
    </row>
    <row r="45" spans="2:8" s="30" customFormat="1" ht="18.75">
      <c r="B45" s="31"/>
      <c r="C45" s="32"/>
      <c r="D45" s="32"/>
      <c r="E45" s="32"/>
      <c r="F45" s="31"/>
      <c r="G45" s="31"/>
      <c r="H45" s="31"/>
    </row>
    <row r="46" spans="2:8" s="30" customFormat="1" ht="18.75">
      <c r="B46" s="31"/>
      <c r="C46" s="32"/>
      <c r="D46" s="32"/>
      <c r="E46" s="32"/>
      <c r="F46" s="31"/>
      <c r="G46" s="31"/>
      <c r="H46" s="31"/>
    </row>
    <row r="47" spans="2:8" s="30" customFormat="1" ht="18.75">
      <c r="B47" s="31"/>
      <c r="C47" s="32"/>
      <c r="D47" s="32"/>
      <c r="E47" s="32"/>
      <c r="F47" s="31"/>
      <c r="G47" s="31"/>
      <c r="H47" s="31"/>
    </row>
    <row r="48" spans="2:8" s="30" customFormat="1" ht="18.75">
      <c r="B48" s="31"/>
      <c r="C48" s="32"/>
      <c r="D48" s="32"/>
      <c r="E48" s="32"/>
      <c r="F48" s="31"/>
      <c r="G48" s="31"/>
      <c r="H48" s="31"/>
    </row>
    <row r="49" spans="2:8" s="30" customFormat="1" ht="18.75">
      <c r="B49" s="31"/>
      <c r="C49" s="32"/>
      <c r="D49" s="32"/>
      <c r="E49" s="32"/>
      <c r="F49" s="31"/>
      <c r="G49" s="31"/>
      <c r="H49" s="31"/>
    </row>
    <row r="50" spans="2:8" s="30" customFormat="1" ht="18.75">
      <c r="B50" s="31"/>
      <c r="C50" s="32"/>
      <c r="D50" s="32"/>
      <c r="E50" s="32"/>
      <c r="F50" s="31"/>
      <c r="G50" s="31"/>
      <c r="H50" s="31"/>
    </row>
    <row r="51" spans="2:8" s="30" customFormat="1" ht="18.75">
      <c r="B51" s="31"/>
      <c r="C51" s="32"/>
      <c r="D51" s="32"/>
      <c r="E51" s="32"/>
      <c r="F51" s="31"/>
      <c r="G51" s="31"/>
      <c r="H51" s="31"/>
    </row>
    <row r="52" spans="2:8" s="30" customFormat="1" ht="18.75">
      <c r="B52" s="31"/>
      <c r="C52" s="32"/>
      <c r="D52" s="32"/>
      <c r="E52" s="32"/>
      <c r="F52" s="31"/>
      <c r="G52" s="31"/>
      <c r="H52" s="31"/>
    </row>
    <row r="53" spans="2:8" s="30" customFormat="1" ht="18.75">
      <c r="B53" s="31"/>
      <c r="C53" s="32"/>
      <c r="D53" s="32"/>
      <c r="E53" s="32"/>
      <c r="F53" s="31"/>
      <c r="G53" s="31"/>
      <c r="H53" s="31"/>
    </row>
    <row r="54" spans="2:8" s="30" customFormat="1" ht="18.75">
      <c r="B54" s="31"/>
      <c r="C54" s="32"/>
      <c r="D54" s="32"/>
      <c r="E54" s="32"/>
      <c r="F54" s="31"/>
      <c r="G54" s="31"/>
      <c r="H54" s="31"/>
    </row>
    <row r="55" spans="2:8" s="30" customFormat="1" ht="18.75">
      <c r="B55" s="31"/>
      <c r="C55" s="32"/>
      <c r="D55" s="32"/>
      <c r="E55" s="32"/>
      <c r="F55" s="31"/>
      <c r="G55" s="31"/>
      <c r="H55" s="31"/>
    </row>
    <row r="56" spans="2:8" s="30" customFormat="1" ht="18.75">
      <c r="B56" s="31"/>
      <c r="C56" s="32"/>
      <c r="D56" s="32"/>
      <c r="E56" s="32"/>
      <c r="F56" s="31"/>
      <c r="G56" s="31"/>
      <c r="H56" s="31"/>
    </row>
    <row r="57" spans="2:8" s="30" customFormat="1" ht="18.75">
      <c r="B57" s="31"/>
      <c r="C57" s="32"/>
      <c r="D57" s="32"/>
      <c r="E57" s="32"/>
      <c r="F57" s="31"/>
      <c r="G57" s="31"/>
      <c r="H57" s="31"/>
    </row>
    <row r="58" spans="2:8" s="30" customFormat="1" ht="18.75">
      <c r="B58" s="31"/>
      <c r="C58" s="32"/>
      <c r="D58" s="32"/>
      <c r="E58" s="32"/>
      <c r="F58" s="31"/>
      <c r="G58" s="31"/>
      <c r="H58" s="31"/>
    </row>
    <row r="59" spans="2:8" s="30" customFormat="1" ht="18.75">
      <c r="B59" s="31"/>
      <c r="C59" s="32"/>
      <c r="D59" s="32"/>
      <c r="E59" s="32"/>
      <c r="F59" s="31"/>
      <c r="G59" s="31"/>
      <c r="H59" s="31"/>
    </row>
    <row r="60" spans="2:8" s="30" customFormat="1" ht="18.75">
      <c r="B60" s="31"/>
      <c r="C60" s="32"/>
      <c r="D60" s="32"/>
      <c r="E60" s="32"/>
      <c r="F60" s="31"/>
      <c r="G60" s="31"/>
      <c r="H60" s="31"/>
    </row>
    <row r="61" spans="2:8" s="30" customFormat="1" ht="18.75">
      <c r="B61" s="31"/>
      <c r="C61" s="32"/>
      <c r="D61" s="32"/>
      <c r="E61" s="32"/>
      <c r="F61" s="31"/>
      <c r="G61" s="31"/>
      <c r="H61" s="31"/>
    </row>
    <row r="62" spans="2:8" s="30" customFormat="1" ht="18.75">
      <c r="B62" s="31"/>
      <c r="C62" s="32"/>
      <c r="D62" s="32"/>
      <c r="E62" s="32"/>
      <c r="F62" s="31"/>
      <c r="G62" s="31"/>
      <c r="H62" s="31"/>
    </row>
    <row r="63" spans="2:8" s="30" customFormat="1" ht="18.75">
      <c r="B63" s="31"/>
      <c r="C63" s="32"/>
      <c r="D63" s="32"/>
      <c r="E63" s="32"/>
      <c r="F63" s="31"/>
      <c r="G63" s="31"/>
      <c r="H63" s="31"/>
    </row>
    <row r="64" spans="2:8" s="30" customFormat="1" ht="18.75">
      <c r="B64" s="31"/>
      <c r="C64" s="32"/>
      <c r="D64" s="32"/>
      <c r="E64" s="32"/>
      <c r="F64" s="31"/>
      <c r="G64" s="31"/>
      <c r="H64" s="31"/>
    </row>
    <row r="65" spans="2:8" s="30" customFormat="1" ht="18.75">
      <c r="B65" s="31"/>
      <c r="C65" s="32"/>
      <c r="D65" s="32"/>
      <c r="E65" s="32"/>
      <c r="F65" s="31"/>
      <c r="G65" s="31"/>
      <c r="H65" s="31"/>
    </row>
    <row r="66" spans="2:8" s="30" customFormat="1" ht="18.75">
      <c r="B66" s="31"/>
      <c r="C66" s="32"/>
      <c r="D66" s="32"/>
      <c r="E66" s="32"/>
      <c r="F66" s="31"/>
      <c r="G66" s="31"/>
      <c r="H66" s="31"/>
    </row>
    <row r="67" spans="2:8" s="30" customFormat="1" ht="18.75">
      <c r="B67" s="31"/>
      <c r="C67" s="32"/>
      <c r="D67" s="32"/>
      <c r="E67" s="32"/>
      <c r="F67" s="31"/>
      <c r="G67" s="31"/>
      <c r="H67" s="31"/>
    </row>
    <row r="68" spans="2:8" s="30" customFormat="1" ht="18.75">
      <c r="B68" s="31"/>
      <c r="C68" s="32"/>
      <c r="D68" s="32"/>
      <c r="E68" s="32"/>
      <c r="F68" s="31"/>
      <c r="G68" s="31"/>
      <c r="H68" s="31"/>
    </row>
    <row r="69" spans="2:8" s="30" customFormat="1" ht="18.75">
      <c r="B69" s="31"/>
      <c r="C69" s="32"/>
      <c r="D69" s="32"/>
      <c r="E69" s="32"/>
      <c r="F69" s="31"/>
      <c r="G69" s="31"/>
      <c r="H69" s="31"/>
    </row>
    <row r="70" spans="2:8" s="30" customFormat="1" ht="18.75">
      <c r="B70" s="31"/>
      <c r="C70" s="32"/>
      <c r="D70" s="32"/>
      <c r="E70" s="32"/>
      <c r="F70" s="31"/>
      <c r="G70" s="31"/>
      <c r="H70" s="31"/>
    </row>
    <row r="71" spans="2:8" s="30" customFormat="1" ht="18.75">
      <c r="B71" s="31"/>
      <c r="C71" s="32"/>
      <c r="D71" s="32"/>
      <c r="E71" s="32"/>
      <c r="F71" s="31"/>
      <c r="G71" s="31"/>
      <c r="H71" s="31"/>
    </row>
    <row r="72" spans="2:8" s="30" customFormat="1" ht="18.75">
      <c r="B72" s="31"/>
      <c r="C72" s="32"/>
      <c r="D72" s="32"/>
      <c r="E72" s="32"/>
      <c r="F72" s="31"/>
      <c r="G72" s="31"/>
      <c r="H72" s="31"/>
    </row>
    <row r="73" spans="2:8" s="30" customFormat="1" ht="18.75">
      <c r="B73" s="31"/>
      <c r="C73" s="32"/>
      <c r="D73" s="32"/>
      <c r="E73" s="32"/>
      <c r="F73" s="31"/>
      <c r="G73" s="31"/>
      <c r="H73" s="31"/>
    </row>
    <row r="74" spans="2:8" s="30" customFormat="1" ht="18.75">
      <c r="B74" s="31"/>
      <c r="C74" s="32"/>
      <c r="D74" s="32"/>
      <c r="E74" s="32"/>
      <c r="F74" s="31"/>
      <c r="G74" s="31"/>
      <c r="H74" s="31"/>
    </row>
    <row r="75" spans="2:8" s="30" customFormat="1" ht="18.75">
      <c r="B75" s="31"/>
      <c r="C75" s="32"/>
      <c r="D75" s="32"/>
      <c r="E75" s="32"/>
      <c r="F75" s="31"/>
      <c r="G75" s="31"/>
      <c r="H75" s="31"/>
    </row>
    <row r="76" spans="2:8" s="30" customFormat="1" ht="18.75">
      <c r="B76" s="31"/>
      <c r="C76" s="32"/>
      <c r="D76" s="32"/>
      <c r="E76" s="32"/>
      <c r="F76" s="31"/>
      <c r="G76" s="31"/>
      <c r="H76" s="31"/>
    </row>
    <row r="77" spans="2:8" s="30" customFormat="1" ht="18.75">
      <c r="B77" s="31"/>
      <c r="C77" s="32"/>
      <c r="D77" s="32"/>
      <c r="E77" s="32"/>
      <c r="F77" s="31"/>
      <c r="G77" s="31"/>
      <c r="H77" s="31"/>
    </row>
    <row r="78" spans="3:5" s="30" customFormat="1" ht="18.75">
      <c r="C78" s="32"/>
      <c r="D78" s="32"/>
      <c r="E78" s="32"/>
    </row>
    <row r="79" spans="3:5" s="30" customFormat="1" ht="18.75">
      <c r="C79" s="32"/>
      <c r="D79" s="32"/>
      <c r="E79" s="32"/>
    </row>
    <row r="80" spans="3:5" s="30" customFormat="1" ht="18.75">
      <c r="C80" s="32"/>
      <c r="D80" s="32"/>
      <c r="E80" s="32"/>
    </row>
    <row r="81" spans="3:5" s="30" customFormat="1" ht="18.75">
      <c r="C81" s="32"/>
      <c r="D81" s="32"/>
      <c r="E81" s="32"/>
    </row>
    <row r="82" spans="3:5" s="30" customFormat="1" ht="18.75">
      <c r="C82" s="32"/>
      <c r="D82" s="32"/>
      <c r="E82" s="32"/>
    </row>
    <row r="83" spans="3:5" s="30" customFormat="1" ht="18.75">
      <c r="C83" s="32"/>
      <c r="D83" s="32"/>
      <c r="E83" s="32"/>
    </row>
    <row r="84" spans="3:5" s="30" customFormat="1" ht="18.75">
      <c r="C84" s="32"/>
      <c r="D84" s="32"/>
      <c r="E84" s="32"/>
    </row>
    <row r="85" spans="3:5" s="30" customFormat="1" ht="18.75">
      <c r="C85" s="32"/>
      <c r="D85" s="32"/>
      <c r="E85" s="32"/>
    </row>
    <row r="86" spans="3:5" s="30" customFormat="1" ht="18.75">
      <c r="C86" s="32"/>
      <c r="D86" s="32"/>
      <c r="E86" s="32"/>
    </row>
    <row r="87" spans="3:5" s="30" customFormat="1" ht="18.75">
      <c r="C87" s="32"/>
      <c r="D87" s="32"/>
      <c r="E87" s="32"/>
    </row>
    <row r="88" spans="3:5" s="30" customFormat="1" ht="18.75">
      <c r="C88" s="32"/>
      <c r="D88" s="32"/>
      <c r="E88" s="32"/>
    </row>
    <row r="89" spans="3:5" s="30" customFormat="1" ht="18.75">
      <c r="C89" s="32"/>
      <c r="D89" s="32"/>
      <c r="E89" s="32"/>
    </row>
    <row r="90" spans="3:5" s="30" customFormat="1" ht="18.75">
      <c r="C90" s="32"/>
      <c r="D90" s="32"/>
      <c r="E90" s="32"/>
    </row>
    <row r="91" spans="3:5" s="30" customFormat="1" ht="18.75">
      <c r="C91" s="32"/>
      <c r="D91" s="32"/>
      <c r="E91" s="32"/>
    </row>
    <row r="92" spans="3:5" s="30" customFormat="1" ht="18.75">
      <c r="C92" s="32"/>
      <c r="D92" s="32"/>
      <c r="E92" s="32"/>
    </row>
    <row r="93" spans="3:5" s="30" customFormat="1" ht="18.75">
      <c r="C93" s="32"/>
      <c r="D93" s="32"/>
      <c r="E93" s="32"/>
    </row>
    <row r="94" spans="3:5" s="30" customFormat="1" ht="18.75">
      <c r="C94" s="32"/>
      <c r="D94" s="32"/>
      <c r="E94" s="32"/>
    </row>
    <row r="95" spans="3:5" s="30" customFormat="1" ht="18.75">
      <c r="C95" s="32"/>
      <c r="D95" s="32"/>
      <c r="E95" s="32"/>
    </row>
    <row r="96" spans="3:5" s="30" customFormat="1" ht="18.75">
      <c r="C96" s="32"/>
      <c r="D96" s="32"/>
      <c r="E96" s="32"/>
    </row>
    <row r="97" spans="3:5" s="30" customFormat="1" ht="18.75">
      <c r="C97" s="32"/>
      <c r="D97" s="32"/>
      <c r="E97" s="32"/>
    </row>
    <row r="98" spans="3:5" s="30" customFormat="1" ht="18.75">
      <c r="C98" s="32"/>
      <c r="D98" s="32"/>
      <c r="E98" s="32"/>
    </row>
    <row r="99" spans="3:5" s="30" customFormat="1" ht="18.75">
      <c r="C99" s="32"/>
      <c r="D99" s="32"/>
      <c r="E99" s="32"/>
    </row>
    <row r="100" spans="3:5" s="30" customFormat="1" ht="18.75">
      <c r="C100" s="32"/>
      <c r="D100" s="32"/>
      <c r="E100" s="32"/>
    </row>
    <row r="101" spans="3:5" s="30" customFormat="1" ht="18.75">
      <c r="C101" s="32"/>
      <c r="D101" s="32"/>
      <c r="E101" s="32"/>
    </row>
    <row r="102" spans="3:5" s="30" customFormat="1" ht="18.75">
      <c r="C102" s="32"/>
      <c r="D102" s="32"/>
      <c r="E102" s="32"/>
    </row>
    <row r="103" spans="3:5" s="30" customFormat="1" ht="18.75">
      <c r="C103" s="32"/>
      <c r="D103" s="32"/>
      <c r="E103" s="32"/>
    </row>
    <row r="104" spans="3:5" s="30" customFormat="1" ht="18.75">
      <c r="C104" s="32"/>
      <c r="D104" s="32"/>
      <c r="E104" s="32"/>
    </row>
    <row r="105" spans="3:5" s="30" customFormat="1" ht="18.75">
      <c r="C105" s="32"/>
      <c r="D105" s="32"/>
      <c r="E105" s="32"/>
    </row>
    <row r="106" spans="3:5" s="30" customFormat="1" ht="18.75">
      <c r="C106" s="32"/>
      <c r="D106" s="32"/>
      <c r="E106" s="32"/>
    </row>
    <row r="107" spans="3:5" s="30" customFormat="1" ht="18.75">
      <c r="C107" s="32"/>
      <c r="D107" s="32"/>
      <c r="E107" s="32"/>
    </row>
    <row r="108" spans="3:5" s="30" customFormat="1" ht="18.75">
      <c r="C108" s="32"/>
      <c r="D108" s="32"/>
      <c r="E108" s="32"/>
    </row>
    <row r="109" spans="3:5" s="30" customFormat="1" ht="18.75">
      <c r="C109" s="32"/>
      <c r="D109" s="32"/>
      <c r="E109" s="32"/>
    </row>
    <row r="110" spans="3:5" s="30" customFormat="1" ht="18.75">
      <c r="C110" s="32"/>
      <c r="D110" s="32"/>
      <c r="E110" s="32"/>
    </row>
    <row r="111" spans="3:5" s="30" customFormat="1" ht="18.75">
      <c r="C111" s="32"/>
      <c r="D111" s="32"/>
      <c r="E111" s="32"/>
    </row>
    <row r="112" spans="3:5" s="30" customFormat="1" ht="18.75">
      <c r="C112" s="32"/>
      <c r="D112" s="32"/>
      <c r="E112" s="32"/>
    </row>
    <row r="113" spans="3:5" s="30" customFormat="1" ht="18.75">
      <c r="C113" s="32"/>
      <c r="D113" s="32"/>
      <c r="E113" s="32"/>
    </row>
    <row r="114" spans="3:5" s="30" customFormat="1" ht="18.75">
      <c r="C114" s="32"/>
      <c r="D114" s="32"/>
      <c r="E114" s="32"/>
    </row>
    <row r="115" spans="3:5" s="30" customFormat="1" ht="18.75">
      <c r="C115" s="32"/>
      <c r="D115" s="32"/>
      <c r="E115" s="32"/>
    </row>
    <row r="116" spans="3:5" s="30" customFormat="1" ht="18.75">
      <c r="C116" s="32"/>
      <c r="D116" s="32"/>
      <c r="E116" s="32"/>
    </row>
    <row r="117" spans="3:5" s="30" customFormat="1" ht="18.75">
      <c r="C117" s="32"/>
      <c r="D117" s="32"/>
      <c r="E117" s="32"/>
    </row>
    <row r="118" spans="3:5" s="30" customFormat="1" ht="18.75">
      <c r="C118" s="32"/>
      <c r="D118" s="32"/>
      <c r="E118" s="32"/>
    </row>
    <row r="119" spans="3:5" s="30" customFormat="1" ht="18.75">
      <c r="C119" s="32"/>
      <c r="D119" s="32"/>
      <c r="E119" s="32"/>
    </row>
    <row r="120" spans="3:5" s="30" customFormat="1" ht="18.75">
      <c r="C120" s="32"/>
      <c r="D120" s="32"/>
      <c r="E120" s="32"/>
    </row>
    <row r="121" spans="3:5" s="30" customFormat="1" ht="18.75">
      <c r="C121" s="32"/>
      <c r="D121" s="32"/>
      <c r="E121" s="32"/>
    </row>
  </sheetData>
  <sheetProtection/>
  <mergeCells count="1">
    <mergeCell ref="A2:H2"/>
  </mergeCells>
  <printOptions horizontalCentered="1"/>
  <pageMargins left="0.7480314960629921" right="0.7480314960629921" top="0.45" bottom="0.52" header="0.33" footer="0.26"/>
  <pageSetup horizontalDpi="600" verticalDpi="600" orientation="landscape" paperSize="9" scale="90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:IV6"/>
    </sheetView>
  </sheetViews>
  <sheetFormatPr defaultColWidth="9.00390625" defaultRowHeight="14.25" customHeight="1"/>
  <cols>
    <col min="1" max="1" width="66.50390625" style="34" customWidth="1"/>
    <col min="2" max="3" width="12.625" style="34" customWidth="1"/>
    <col min="4" max="5" width="12.625" style="34" hidden="1" customWidth="1"/>
    <col min="6" max="8" width="12.625" style="34" customWidth="1"/>
    <col min="9" max="9" width="12.625" style="34" hidden="1" customWidth="1"/>
    <col min="10" max="10" width="12.625" style="34" customWidth="1"/>
    <col min="11" max="16384" width="9.00390625" style="34" customWidth="1"/>
  </cols>
  <sheetData>
    <row r="1" ht="14.25" customHeight="1">
      <c r="A1" s="33" t="s">
        <v>963</v>
      </c>
    </row>
    <row r="2" spans="1:10" ht="30" customHeight="1">
      <c r="A2" s="388" t="s">
        <v>811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15" customHeight="1">
      <c r="A3" s="35"/>
      <c r="E3" s="37"/>
      <c r="F3" s="37"/>
      <c r="I3" s="36"/>
      <c r="J3" s="36" t="s">
        <v>640</v>
      </c>
    </row>
    <row r="4" spans="1:10" s="110" customFormat="1" ht="39.75" customHeight="1">
      <c r="A4" s="108" t="s">
        <v>689</v>
      </c>
      <c r="B4" s="108" t="s">
        <v>575</v>
      </c>
      <c r="C4" s="109" t="s">
        <v>642</v>
      </c>
      <c r="D4" s="109" t="s">
        <v>608</v>
      </c>
      <c r="E4" s="109" t="s">
        <v>637</v>
      </c>
      <c r="F4" s="109" t="s">
        <v>607</v>
      </c>
      <c r="G4" s="109" t="s">
        <v>643</v>
      </c>
      <c r="H4" s="109" t="s">
        <v>338</v>
      </c>
      <c r="I4" s="150" t="s">
        <v>81</v>
      </c>
      <c r="J4" s="150" t="s">
        <v>809</v>
      </c>
    </row>
    <row r="5" spans="1:10" s="110" customFormat="1" ht="19.5" customHeight="1">
      <c r="A5" s="134" t="s">
        <v>691</v>
      </c>
      <c r="B5" s="135">
        <f>B6+B42+B46+B47+B48+B49+B50+B51+B52+B53+B54+B55+B56+B57+B58</f>
        <v>273405</v>
      </c>
      <c r="C5" s="79">
        <f>C6+C42</f>
        <v>361635</v>
      </c>
      <c r="D5" s="135">
        <f>D6+D42+D46+D47+D48+D49+D50+D51+D52+D53+D54+D55+D56+D57+D58</f>
        <v>320918</v>
      </c>
      <c r="E5" s="135">
        <f>E6+E42+E46+E47+E48+E49+E50+E51+E52+E53+E54+E55+E56+E57+E58</f>
        <v>386653</v>
      </c>
      <c r="F5" s="135">
        <f>F6+F42+F46+F47+F48+F49+F50+F51+F52+F53+F54+F55+F56+F57+F58</f>
        <v>319092</v>
      </c>
      <c r="G5" s="136">
        <f>IF(B5=0,0,F5/B5*100)</f>
        <v>116.71</v>
      </c>
      <c r="H5" s="136">
        <f>F5/C5*100</f>
        <v>88.24</v>
      </c>
      <c r="I5" s="135">
        <f>I6+I42+I46+I47+I48+I49+I50+I51+I52+I53+I54+I55+I56+I57+I58</f>
        <v>642645</v>
      </c>
      <c r="J5" s="136">
        <f>IF(F5=0,0,F5/I5*100)</f>
        <v>49.65</v>
      </c>
    </row>
    <row r="6" spans="1:10" s="110" customFormat="1" ht="19.5" customHeight="1">
      <c r="A6" s="137" t="s">
        <v>571</v>
      </c>
      <c r="B6" s="135">
        <f>B7+B21+B26+B29+B35+B38</f>
        <v>273405</v>
      </c>
      <c r="C6" s="79">
        <f>SUM(C7,C21,C26,C29,C35,C38)</f>
        <v>314835</v>
      </c>
      <c r="D6" s="135">
        <f>D7+D21+D26+D29+D35+D38</f>
        <v>274118</v>
      </c>
      <c r="E6" s="135">
        <f>E7+E21+E26+E29+E35+E38</f>
        <v>339853</v>
      </c>
      <c r="F6" s="135">
        <f>F7+F21+F26+F29+F35+F38</f>
        <v>272292</v>
      </c>
      <c r="G6" s="136">
        <f>IF(B6=0,0,F6/B6*100)</f>
        <v>99.59</v>
      </c>
      <c r="H6" s="136">
        <f aca="true" t="shared" si="0" ref="H6:H45">F6/C6*100</f>
        <v>86.49</v>
      </c>
      <c r="I6" s="135">
        <f>I7+I21+I26+I29+I35+I38</f>
        <v>262045</v>
      </c>
      <c r="J6" s="136">
        <f aca="true" t="shared" si="1" ref="J6:J45">IF(F6=0,0,F6/I6*100)</f>
        <v>103.91</v>
      </c>
    </row>
    <row r="7" spans="1:10" s="110" customFormat="1" ht="19.5" customHeight="1">
      <c r="A7" s="138" t="s">
        <v>552</v>
      </c>
      <c r="B7" s="151">
        <v>261215</v>
      </c>
      <c r="C7" s="79">
        <f>SUM(C8,C12,C14)</f>
        <v>299655</v>
      </c>
      <c r="D7" s="135">
        <f>D8+D12+D14+D15+D17</f>
        <v>259144</v>
      </c>
      <c r="E7" s="135">
        <f>E8+E12+E14+E15+E17</f>
        <v>323905</v>
      </c>
      <c r="F7" s="135">
        <f>F8+F12+F14+F15+F17</f>
        <v>257562</v>
      </c>
      <c r="G7" s="136">
        <f aca="true" t="shared" si="2" ref="G7:G45">IF(B7=0,0,F7/B7*100)</f>
        <v>98.6</v>
      </c>
      <c r="H7" s="136">
        <f t="shared" si="0"/>
        <v>85.95</v>
      </c>
      <c r="I7" s="135">
        <f>I8+I12+I14+I15+I17</f>
        <v>259318</v>
      </c>
      <c r="J7" s="136">
        <f t="shared" si="1"/>
        <v>99.32</v>
      </c>
    </row>
    <row r="8" spans="1:10" s="110" customFormat="1" ht="19.5" customHeight="1">
      <c r="A8" s="138" t="s">
        <v>609</v>
      </c>
      <c r="B8" s="135">
        <f>B9+B10+B11</f>
        <v>226170</v>
      </c>
      <c r="C8" s="79">
        <f>SUM(C9:C11)</f>
        <v>290415</v>
      </c>
      <c r="D8" s="135">
        <f>D9+D10+D11</f>
        <v>259144</v>
      </c>
      <c r="E8" s="135">
        <v>313722</v>
      </c>
      <c r="F8" s="135">
        <f>F9+F10+F11</f>
        <v>257562</v>
      </c>
      <c r="G8" s="136">
        <f t="shared" si="2"/>
        <v>113.88</v>
      </c>
      <c r="H8" s="136">
        <f t="shared" si="0"/>
        <v>88.69</v>
      </c>
      <c r="I8" s="135">
        <f>SUM(I9:I11)</f>
        <v>259194</v>
      </c>
      <c r="J8" s="136">
        <f t="shared" si="1"/>
        <v>99.37</v>
      </c>
    </row>
    <row r="9" spans="1:10" s="110" customFormat="1" ht="19.5" customHeight="1">
      <c r="A9" s="138" t="s">
        <v>610</v>
      </c>
      <c r="B9" s="151">
        <v>156129</v>
      </c>
      <c r="C9" s="79">
        <f>255504+4131</f>
        <v>259635</v>
      </c>
      <c r="D9" s="79">
        <v>245493</v>
      </c>
      <c r="E9" s="139"/>
      <c r="F9" s="135">
        <v>245493</v>
      </c>
      <c r="G9" s="136">
        <f t="shared" si="2"/>
        <v>157.24</v>
      </c>
      <c r="H9" s="136">
        <f t="shared" si="0"/>
        <v>94.55</v>
      </c>
      <c r="I9" s="135">
        <v>121728</v>
      </c>
      <c r="J9" s="136">
        <f t="shared" si="1"/>
        <v>201.67</v>
      </c>
    </row>
    <row r="10" spans="1:10" s="110" customFormat="1" ht="19.5" customHeight="1">
      <c r="A10" s="138" t="s">
        <v>611</v>
      </c>
      <c r="B10" s="151">
        <v>69596</v>
      </c>
      <c r="C10" s="79">
        <v>28741</v>
      </c>
      <c r="D10" s="79">
        <v>13274</v>
      </c>
      <c r="E10" s="139"/>
      <c r="F10" s="135">
        <f>11687</f>
        <v>11687</v>
      </c>
      <c r="G10" s="136">
        <f t="shared" si="2"/>
        <v>16.79</v>
      </c>
      <c r="H10" s="136">
        <f t="shared" si="0"/>
        <v>40.66</v>
      </c>
      <c r="I10" s="135">
        <f>141598-4132</f>
        <v>137466</v>
      </c>
      <c r="J10" s="136">
        <f t="shared" si="1"/>
        <v>8.5</v>
      </c>
    </row>
    <row r="11" spans="1:10" s="110" customFormat="1" ht="19.5" customHeight="1">
      <c r="A11" s="138" t="s">
        <v>612</v>
      </c>
      <c r="B11" s="151">
        <v>445</v>
      </c>
      <c r="C11" s="79">
        <v>2039</v>
      </c>
      <c r="D11" s="79">
        <f>382-5</f>
        <v>377</v>
      </c>
      <c r="E11" s="135"/>
      <c r="F11" s="135">
        <v>382</v>
      </c>
      <c r="G11" s="136">
        <f t="shared" si="2"/>
        <v>85.84</v>
      </c>
      <c r="H11" s="136">
        <f t="shared" si="0"/>
        <v>18.73</v>
      </c>
      <c r="I11" s="135"/>
      <c r="J11" s="136"/>
    </row>
    <row r="12" spans="1:10" s="110" customFormat="1" ht="19.5" customHeight="1">
      <c r="A12" s="138" t="s">
        <v>613</v>
      </c>
      <c r="B12" s="135">
        <f>B13</f>
        <v>6344</v>
      </c>
      <c r="C12" s="79">
        <v>4196</v>
      </c>
      <c r="D12" s="135">
        <f>D13</f>
        <v>0</v>
      </c>
      <c r="E12" s="135">
        <v>4258</v>
      </c>
      <c r="F12" s="135"/>
      <c r="G12" s="136">
        <f t="shared" si="2"/>
        <v>0</v>
      </c>
      <c r="H12" s="136">
        <f t="shared" si="0"/>
        <v>0</v>
      </c>
      <c r="I12" s="135">
        <f>I13</f>
        <v>0</v>
      </c>
      <c r="J12" s="136">
        <f t="shared" si="1"/>
        <v>0</v>
      </c>
    </row>
    <row r="13" spans="1:10" s="110" customFormat="1" ht="19.5" customHeight="1">
      <c r="A13" s="138" t="s">
        <v>614</v>
      </c>
      <c r="B13" s="151">
        <v>6344</v>
      </c>
      <c r="C13" s="79">
        <v>4196</v>
      </c>
      <c r="D13" s="135">
        <v>0</v>
      </c>
      <c r="E13" s="135"/>
      <c r="F13" s="135"/>
      <c r="G13" s="136">
        <f t="shared" si="2"/>
        <v>0</v>
      </c>
      <c r="H13" s="136">
        <f t="shared" si="0"/>
        <v>0</v>
      </c>
      <c r="I13" s="136"/>
      <c r="J13" s="136">
        <f t="shared" si="1"/>
        <v>0</v>
      </c>
    </row>
    <row r="14" spans="1:10" s="110" customFormat="1" ht="19.5" customHeight="1">
      <c r="A14" s="138" t="s">
        <v>615</v>
      </c>
      <c r="B14" s="151">
        <v>24858</v>
      </c>
      <c r="C14" s="79">
        <v>5044</v>
      </c>
      <c r="D14" s="135">
        <v>0</v>
      </c>
      <c r="E14" s="135">
        <v>5925</v>
      </c>
      <c r="F14" s="135"/>
      <c r="G14" s="136">
        <f t="shared" si="2"/>
        <v>0</v>
      </c>
      <c r="H14" s="136">
        <f t="shared" si="0"/>
        <v>0</v>
      </c>
      <c r="I14" s="135">
        <v>103</v>
      </c>
      <c r="J14" s="136">
        <f t="shared" si="1"/>
        <v>0</v>
      </c>
    </row>
    <row r="15" spans="1:10" s="110" customFormat="1" ht="19.5" customHeight="1">
      <c r="A15" s="138" t="s">
        <v>616</v>
      </c>
      <c r="B15" s="135">
        <f>B16</f>
        <v>3833</v>
      </c>
      <c r="C15" s="135">
        <f>C16</f>
        <v>0</v>
      </c>
      <c r="D15" s="135">
        <f>D16</f>
        <v>0</v>
      </c>
      <c r="E15" s="135">
        <f>E16</f>
        <v>0</v>
      </c>
      <c r="F15" s="135"/>
      <c r="G15" s="136">
        <f t="shared" si="2"/>
        <v>0</v>
      </c>
      <c r="H15" s="136"/>
      <c r="I15" s="135">
        <f>I16</f>
        <v>0</v>
      </c>
      <c r="J15" s="136">
        <f t="shared" si="1"/>
        <v>0</v>
      </c>
    </row>
    <row r="16" spans="1:10" s="110" customFormat="1" ht="19.5" customHeight="1">
      <c r="A16" s="138" t="s">
        <v>617</v>
      </c>
      <c r="B16" s="151">
        <v>3833.06</v>
      </c>
      <c r="C16" s="135"/>
      <c r="D16" s="135">
        <v>0</v>
      </c>
      <c r="E16" s="135">
        <v>0</v>
      </c>
      <c r="F16" s="135"/>
      <c r="G16" s="136">
        <f t="shared" si="2"/>
        <v>0</v>
      </c>
      <c r="H16" s="136"/>
      <c r="I16" s="136"/>
      <c r="J16" s="136">
        <f t="shared" si="1"/>
        <v>0</v>
      </c>
    </row>
    <row r="17" spans="1:10" s="110" customFormat="1" ht="19.5" customHeight="1">
      <c r="A17" s="138" t="s">
        <v>618</v>
      </c>
      <c r="B17" s="135">
        <f>B18+B19+B20</f>
        <v>9</v>
      </c>
      <c r="C17" s="135">
        <f>C18+C19+C20</f>
        <v>0</v>
      </c>
      <c r="D17" s="135">
        <f>D18+D19+D20</f>
        <v>0</v>
      </c>
      <c r="E17" s="135">
        <f>E18+E19+E20</f>
        <v>0</v>
      </c>
      <c r="F17" s="135">
        <f>F18+F19+F20</f>
        <v>0</v>
      </c>
      <c r="G17" s="136">
        <f t="shared" si="2"/>
        <v>0</v>
      </c>
      <c r="H17" s="136"/>
      <c r="I17" s="135">
        <f>I18+I19+I20</f>
        <v>21</v>
      </c>
      <c r="J17" s="136">
        <f t="shared" si="1"/>
        <v>0</v>
      </c>
    </row>
    <row r="18" spans="1:10" s="110" customFormat="1" ht="19.5" customHeight="1">
      <c r="A18" s="138" t="s">
        <v>619</v>
      </c>
      <c r="B18" s="151">
        <v>9</v>
      </c>
      <c r="C18" s="135"/>
      <c r="D18" s="135">
        <v>0</v>
      </c>
      <c r="E18" s="135">
        <v>0</v>
      </c>
      <c r="F18" s="135"/>
      <c r="G18" s="136">
        <f t="shared" si="2"/>
        <v>0</v>
      </c>
      <c r="H18" s="136"/>
      <c r="I18" s="136"/>
      <c r="J18" s="136">
        <f t="shared" si="1"/>
        <v>0</v>
      </c>
    </row>
    <row r="19" spans="1:10" s="110" customFormat="1" ht="19.5" customHeight="1">
      <c r="A19" s="138" t="s">
        <v>620</v>
      </c>
      <c r="B19" s="79">
        <v>0</v>
      </c>
      <c r="C19" s="135"/>
      <c r="D19" s="135">
        <v>0</v>
      </c>
      <c r="E19" s="135">
        <v>0</v>
      </c>
      <c r="F19" s="135"/>
      <c r="G19" s="136">
        <f t="shared" si="2"/>
        <v>0</v>
      </c>
      <c r="H19" s="136"/>
      <c r="I19" s="135">
        <v>9</v>
      </c>
      <c r="J19" s="136">
        <f t="shared" si="1"/>
        <v>0</v>
      </c>
    </row>
    <row r="20" spans="1:10" s="110" customFormat="1" ht="19.5" customHeight="1">
      <c r="A20" s="138" t="s">
        <v>621</v>
      </c>
      <c r="B20" s="79">
        <v>0</v>
      </c>
      <c r="C20" s="135"/>
      <c r="D20" s="135">
        <v>0</v>
      </c>
      <c r="E20" s="135">
        <v>0</v>
      </c>
      <c r="F20" s="135"/>
      <c r="G20" s="136">
        <f t="shared" si="2"/>
        <v>0</v>
      </c>
      <c r="H20" s="136"/>
      <c r="I20" s="135">
        <v>12</v>
      </c>
      <c r="J20" s="136">
        <f t="shared" si="1"/>
        <v>0</v>
      </c>
    </row>
    <row r="21" spans="1:10" s="272" customFormat="1" ht="19.5" customHeight="1">
      <c r="A21" s="138" t="s">
        <v>569</v>
      </c>
      <c r="B21" s="135">
        <f>B22+B24</f>
        <v>257</v>
      </c>
      <c r="C21" s="271">
        <v>210</v>
      </c>
      <c r="D21" s="135">
        <f>D22+D24</f>
        <v>28</v>
      </c>
      <c r="E21" s="135">
        <f>E22+E24</f>
        <v>210</v>
      </c>
      <c r="F21" s="135">
        <f>F22+F24</f>
        <v>28</v>
      </c>
      <c r="G21" s="136">
        <f t="shared" si="2"/>
        <v>10.89</v>
      </c>
      <c r="H21" s="136">
        <f t="shared" si="0"/>
        <v>13.33</v>
      </c>
      <c r="I21" s="135">
        <f>I22+I24</f>
        <v>13</v>
      </c>
      <c r="J21" s="136">
        <f t="shared" si="1"/>
        <v>215.38</v>
      </c>
    </row>
    <row r="22" spans="1:10" s="272" customFormat="1" ht="19.5" customHeight="1">
      <c r="A22" s="138" t="s">
        <v>622</v>
      </c>
      <c r="B22" s="135">
        <f>B23</f>
        <v>15</v>
      </c>
      <c r="C22" s="271">
        <v>0</v>
      </c>
      <c r="D22" s="135">
        <f>D23</f>
        <v>0</v>
      </c>
      <c r="E22" s="135">
        <f>E23</f>
        <v>0</v>
      </c>
      <c r="F22" s="135"/>
      <c r="G22" s="136">
        <f t="shared" si="2"/>
        <v>0</v>
      </c>
      <c r="H22" s="136"/>
      <c r="I22" s="135">
        <f>I23</f>
        <v>0</v>
      </c>
      <c r="J22" s="136">
        <f t="shared" si="1"/>
        <v>0</v>
      </c>
    </row>
    <row r="23" spans="1:10" s="272" customFormat="1" ht="19.5" customHeight="1">
      <c r="A23" s="138" t="s">
        <v>623</v>
      </c>
      <c r="B23" s="151">
        <v>15</v>
      </c>
      <c r="C23" s="271">
        <v>0</v>
      </c>
      <c r="D23" s="135">
        <v>0</v>
      </c>
      <c r="E23" s="135">
        <v>0</v>
      </c>
      <c r="F23" s="135"/>
      <c r="G23" s="136">
        <f t="shared" si="2"/>
        <v>0</v>
      </c>
      <c r="H23" s="136"/>
      <c r="I23" s="136"/>
      <c r="J23" s="136">
        <f t="shared" si="1"/>
        <v>0</v>
      </c>
    </row>
    <row r="24" spans="1:10" s="272" customFormat="1" ht="19.5" customHeight="1">
      <c r="A24" s="138" t="s">
        <v>624</v>
      </c>
      <c r="B24" s="135">
        <f>B25</f>
        <v>242</v>
      </c>
      <c r="C24" s="271">
        <v>210</v>
      </c>
      <c r="D24" s="135">
        <f>D25</f>
        <v>28</v>
      </c>
      <c r="E24" s="135">
        <f>E25</f>
        <v>210</v>
      </c>
      <c r="F24" s="135">
        <f>F25</f>
        <v>28</v>
      </c>
      <c r="G24" s="136">
        <f t="shared" si="2"/>
        <v>11.57</v>
      </c>
      <c r="H24" s="136">
        <f t="shared" si="0"/>
        <v>13.33</v>
      </c>
      <c r="I24" s="135">
        <f>I25</f>
        <v>13</v>
      </c>
      <c r="J24" s="136">
        <f t="shared" si="1"/>
        <v>215.38</v>
      </c>
    </row>
    <row r="25" spans="1:10" s="272" customFormat="1" ht="19.5" customHeight="1">
      <c r="A25" s="138" t="s">
        <v>625</v>
      </c>
      <c r="B25" s="151">
        <v>242</v>
      </c>
      <c r="C25" s="271">
        <v>210</v>
      </c>
      <c r="D25" s="271">
        <f>23+5</f>
        <v>28</v>
      </c>
      <c r="E25" s="135">
        <v>210</v>
      </c>
      <c r="F25" s="135">
        <v>28</v>
      </c>
      <c r="G25" s="136">
        <f t="shared" si="2"/>
        <v>11.57</v>
      </c>
      <c r="H25" s="136">
        <f t="shared" si="0"/>
        <v>13.33</v>
      </c>
      <c r="I25" s="135">
        <v>13</v>
      </c>
      <c r="J25" s="136">
        <f t="shared" si="1"/>
        <v>215.38</v>
      </c>
    </row>
    <row r="26" spans="1:10" s="272" customFormat="1" ht="19.5" customHeight="1">
      <c r="A26" s="138" t="s">
        <v>556</v>
      </c>
      <c r="B26" s="135">
        <f aca="true" t="shared" si="3" ref="B26:F27">B27</f>
        <v>0</v>
      </c>
      <c r="C26" s="135">
        <f t="shared" si="3"/>
        <v>20</v>
      </c>
      <c r="D26" s="135">
        <f t="shared" si="3"/>
        <v>20</v>
      </c>
      <c r="E26" s="135">
        <f t="shared" si="3"/>
        <v>20</v>
      </c>
      <c r="F26" s="135">
        <f t="shared" si="3"/>
        <v>20</v>
      </c>
      <c r="G26" s="136">
        <f t="shared" si="2"/>
        <v>0</v>
      </c>
      <c r="H26" s="136">
        <f t="shared" si="0"/>
        <v>100</v>
      </c>
      <c r="I26" s="135">
        <f>I27</f>
        <v>11</v>
      </c>
      <c r="J26" s="136">
        <f t="shared" si="1"/>
        <v>181.82</v>
      </c>
    </row>
    <row r="27" spans="1:10" s="272" customFormat="1" ht="19.5" customHeight="1">
      <c r="A27" s="138" t="s">
        <v>626</v>
      </c>
      <c r="B27" s="135">
        <f t="shared" si="3"/>
        <v>0</v>
      </c>
      <c r="C27" s="135">
        <f t="shared" si="3"/>
        <v>20</v>
      </c>
      <c r="D27" s="135">
        <f t="shared" si="3"/>
        <v>20</v>
      </c>
      <c r="E27" s="135">
        <f t="shared" si="3"/>
        <v>20</v>
      </c>
      <c r="F27" s="135">
        <f t="shared" si="3"/>
        <v>20</v>
      </c>
      <c r="G27" s="136">
        <f t="shared" si="2"/>
        <v>0</v>
      </c>
      <c r="H27" s="136">
        <f t="shared" si="0"/>
        <v>100</v>
      </c>
      <c r="I27" s="135">
        <v>11</v>
      </c>
      <c r="J27" s="136">
        <f t="shared" si="1"/>
        <v>181.82</v>
      </c>
    </row>
    <row r="28" spans="1:10" s="272" customFormat="1" ht="19.5" customHeight="1">
      <c r="A28" s="138" t="s">
        <v>627</v>
      </c>
      <c r="B28" s="135">
        <v>0</v>
      </c>
      <c r="C28" s="271">
        <v>20</v>
      </c>
      <c r="D28" s="271">
        <v>20</v>
      </c>
      <c r="E28" s="271">
        <v>20</v>
      </c>
      <c r="F28" s="135">
        <v>20</v>
      </c>
      <c r="G28" s="136">
        <f t="shared" si="2"/>
        <v>0</v>
      </c>
      <c r="H28" s="136">
        <f t="shared" si="0"/>
        <v>100</v>
      </c>
      <c r="I28" s="135">
        <v>11</v>
      </c>
      <c r="J28" s="136">
        <f t="shared" si="1"/>
        <v>181.82</v>
      </c>
    </row>
    <row r="29" spans="1:10" s="272" customFormat="1" ht="19.5" customHeight="1">
      <c r="A29" s="138" t="s">
        <v>563</v>
      </c>
      <c r="B29" s="135">
        <f>B30</f>
        <v>637</v>
      </c>
      <c r="C29" s="135">
        <f>C30</f>
        <v>2472</v>
      </c>
      <c r="D29" s="135">
        <f>D30</f>
        <v>2448</v>
      </c>
      <c r="E29" s="135">
        <f>E30</f>
        <v>3240</v>
      </c>
      <c r="F29" s="135">
        <f>F30</f>
        <v>2204</v>
      </c>
      <c r="G29" s="136">
        <f t="shared" si="2"/>
        <v>346</v>
      </c>
      <c r="H29" s="136">
        <f t="shared" si="0"/>
        <v>89.16</v>
      </c>
      <c r="I29" s="135">
        <f>I30</f>
        <v>1679</v>
      </c>
      <c r="J29" s="136">
        <f t="shared" si="1"/>
        <v>131.27</v>
      </c>
    </row>
    <row r="30" spans="1:10" s="272" customFormat="1" ht="19.5" customHeight="1">
      <c r="A30" s="138" t="s">
        <v>628</v>
      </c>
      <c r="B30" s="135">
        <f>B31+B32</f>
        <v>637</v>
      </c>
      <c r="C30" s="135">
        <f>C31+C32</f>
        <v>2472</v>
      </c>
      <c r="D30" s="135">
        <f>D31+D32</f>
        <v>2448</v>
      </c>
      <c r="E30" s="135">
        <v>3240</v>
      </c>
      <c r="F30" s="135">
        <f>F31+F32</f>
        <v>2204</v>
      </c>
      <c r="G30" s="136">
        <f t="shared" si="2"/>
        <v>346</v>
      </c>
      <c r="H30" s="136">
        <f t="shared" si="0"/>
        <v>89.16</v>
      </c>
      <c r="I30" s="135">
        <f>SUM(I31:I34)</f>
        <v>1679</v>
      </c>
      <c r="J30" s="136">
        <f t="shared" si="1"/>
        <v>131.27</v>
      </c>
    </row>
    <row r="31" spans="1:10" s="110" customFormat="1" ht="19.5" customHeight="1">
      <c r="A31" s="138" t="s">
        <v>629</v>
      </c>
      <c r="B31" s="151">
        <v>488.5</v>
      </c>
      <c r="C31" s="79">
        <f>2007-767</f>
        <v>1240</v>
      </c>
      <c r="D31" s="79">
        <f>2007-767</f>
        <v>1240</v>
      </c>
      <c r="E31" s="135"/>
      <c r="F31" s="135">
        <v>1267</v>
      </c>
      <c r="G31" s="136">
        <f t="shared" si="2"/>
        <v>259.37</v>
      </c>
      <c r="H31" s="136">
        <f t="shared" si="0"/>
        <v>102.18</v>
      </c>
      <c r="I31" s="135">
        <v>225.5525</v>
      </c>
      <c r="J31" s="136">
        <f t="shared" si="1"/>
        <v>561.73</v>
      </c>
    </row>
    <row r="32" spans="1:10" s="110" customFormat="1" ht="19.5" customHeight="1">
      <c r="A32" s="138" t="s">
        <v>630</v>
      </c>
      <c r="B32" s="151">
        <v>148</v>
      </c>
      <c r="C32" s="79">
        <f>465+767</f>
        <v>1232</v>
      </c>
      <c r="D32" s="79">
        <f>441+767</f>
        <v>1208</v>
      </c>
      <c r="E32" s="135"/>
      <c r="F32" s="135">
        <v>937</v>
      </c>
      <c r="G32" s="136">
        <f t="shared" si="2"/>
        <v>633.11</v>
      </c>
      <c r="H32" s="136">
        <f t="shared" si="0"/>
        <v>76.06</v>
      </c>
      <c r="I32" s="135">
        <v>1453</v>
      </c>
      <c r="J32" s="136">
        <f t="shared" si="1"/>
        <v>64.49</v>
      </c>
    </row>
    <row r="33" spans="1:10" s="110" customFormat="1" ht="19.5" customHeight="1">
      <c r="A33" s="138" t="s">
        <v>97</v>
      </c>
      <c r="B33" s="135"/>
      <c r="C33" s="135"/>
      <c r="D33" s="135"/>
      <c r="E33" s="135"/>
      <c r="F33" s="135"/>
      <c r="G33" s="136">
        <f t="shared" si="2"/>
        <v>0</v>
      </c>
      <c r="H33" s="136"/>
      <c r="I33" s="135"/>
      <c r="J33" s="136">
        <f t="shared" si="1"/>
        <v>0</v>
      </c>
    </row>
    <row r="34" spans="1:10" s="110" customFormat="1" ht="19.5" customHeight="1">
      <c r="A34" s="138" t="s">
        <v>98</v>
      </c>
      <c r="B34" s="135"/>
      <c r="C34" s="135"/>
      <c r="D34" s="135"/>
      <c r="E34" s="135"/>
      <c r="F34" s="135"/>
      <c r="G34" s="136">
        <f t="shared" si="2"/>
        <v>0</v>
      </c>
      <c r="H34" s="136"/>
      <c r="I34" s="135"/>
      <c r="J34" s="136">
        <f t="shared" si="1"/>
        <v>0</v>
      </c>
    </row>
    <row r="35" spans="1:10" s="110" customFormat="1" ht="19.5" customHeight="1">
      <c r="A35" s="138" t="s">
        <v>565</v>
      </c>
      <c r="B35" s="135">
        <f aca="true" t="shared" si="4" ref="B35:F36">B36</f>
        <v>11296</v>
      </c>
      <c r="C35" s="135">
        <f t="shared" si="4"/>
        <v>12291</v>
      </c>
      <c r="D35" s="135">
        <f t="shared" si="4"/>
        <v>12291</v>
      </c>
      <c r="E35" s="135">
        <f t="shared" si="4"/>
        <v>12291</v>
      </c>
      <c r="F35" s="135">
        <f t="shared" si="4"/>
        <v>12291</v>
      </c>
      <c r="G35" s="136">
        <f t="shared" si="2"/>
        <v>108.81</v>
      </c>
      <c r="H35" s="136">
        <f t="shared" si="0"/>
        <v>100</v>
      </c>
      <c r="I35" s="135">
        <f>I36</f>
        <v>655</v>
      </c>
      <c r="J35" s="136">
        <f t="shared" si="1"/>
        <v>1876.49</v>
      </c>
    </row>
    <row r="36" spans="1:10" s="110" customFormat="1" ht="19.5" customHeight="1">
      <c r="A36" s="138" t="s">
        <v>631</v>
      </c>
      <c r="B36" s="135">
        <f t="shared" si="4"/>
        <v>11296</v>
      </c>
      <c r="C36" s="135">
        <f t="shared" si="4"/>
        <v>12291</v>
      </c>
      <c r="D36" s="135">
        <f t="shared" si="4"/>
        <v>12291</v>
      </c>
      <c r="E36" s="135">
        <f t="shared" si="4"/>
        <v>12291</v>
      </c>
      <c r="F36" s="135">
        <f t="shared" si="4"/>
        <v>12291</v>
      </c>
      <c r="G36" s="136">
        <f t="shared" si="2"/>
        <v>108.81</v>
      </c>
      <c r="H36" s="136">
        <f t="shared" si="0"/>
        <v>100</v>
      </c>
      <c r="I36" s="135">
        <f>I37</f>
        <v>655</v>
      </c>
      <c r="J36" s="136">
        <f t="shared" si="1"/>
        <v>1876.49</v>
      </c>
    </row>
    <row r="37" spans="1:10" s="110" customFormat="1" ht="19.5" customHeight="1">
      <c r="A37" s="138" t="s">
        <v>632</v>
      </c>
      <c r="B37" s="151">
        <v>11296</v>
      </c>
      <c r="C37" s="79">
        <v>12291</v>
      </c>
      <c r="D37" s="79">
        <v>12291</v>
      </c>
      <c r="E37" s="79">
        <v>12291</v>
      </c>
      <c r="F37" s="135">
        <v>12291</v>
      </c>
      <c r="G37" s="136">
        <f t="shared" si="2"/>
        <v>108.81</v>
      </c>
      <c r="H37" s="136">
        <f t="shared" si="0"/>
        <v>100</v>
      </c>
      <c r="I37" s="135">
        <v>655</v>
      </c>
      <c r="J37" s="136">
        <f t="shared" si="1"/>
        <v>1876.49</v>
      </c>
    </row>
    <row r="38" spans="1:10" s="110" customFormat="1" ht="19.5" customHeight="1">
      <c r="A38" s="138" t="s">
        <v>570</v>
      </c>
      <c r="B38" s="135">
        <f>B39</f>
        <v>0</v>
      </c>
      <c r="C38" s="135">
        <f>C39</f>
        <v>187</v>
      </c>
      <c r="D38" s="135">
        <f>D39</f>
        <v>187</v>
      </c>
      <c r="E38" s="135">
        <f>E39</f>
        <v>187</v>
      </c>
      <c r="F38" s="135">
        <f>F39</f>
        <v>187</v>
      </c>
      <c r="G38" s="136">
        <f t="shared" si="2"/>
        <v>0</v>
      </c>
      <c r="H38" s="136">
        <f t="shared" si="0"/>
        <v>100</v>
      </c>
      <c r="I38" s="135">
        <f>I39</f>
        <v>369</v>
      </c>
      <c r="J38" s="136">
        <f t="shared" si="1"/>
        <v>50.68</v>
      </c>
    </row>
    <row r="39" spans="1:10" s="110" customFormat="1" ht="19.5" customHeight="1">
      <c r="A39" s="138" t="s">
        <v>633</v>
      </c>
      <c r="B39" s="135">
        <f>B41</f>
        <v>0</v>
      </c>
      <c r="C39" s="135">
        <f>C40+C41</f>
        <v>187</v>
      </c>
      <c r="D39" s="135">
        <f>D41</f>
        <v>187</v>
      </c>
      <c r="E39" s="135">
        <f>E40+E41</f>
        <v>187</v>
      </c>
      <c r="F39" s="135">
        <f>F40+F41</f>
        <v>187</v>
      </c>
      <c r="G39" s="136">
        <f t="shared" si="2"/>
        <v>0</v>
      </c>
      <c r="H39" s="136">
        <f t="shared" si="0"/>
        <v>100</v>
      </c>
      <c r="I39" s="135">
        <f>I40+I41</f>
        <v>369</v>
      </c>
      <c r="J39" s="136">
        <f t="shared" si="1"/>
        <v>50.68</v>
      </c>
    </row>
    <row r="40" spans="1:10" s="110" customFormat="1" ht="19.5" customHeight="1">
      <c r="A40" s="138" t="s">
        <v>99</v>
      </c>
      <c r="B40" s="135"/>
      <c r="C40" s="79"/>
      <c r="D40" s="135"/>
      <c r="E40" s="135"/>
      <c r="F40" s="135">
        <v>187</v>
      </c>
      <c r="G40" s="136">
        <f t="shared" si="2"/>
        <v>0</v>
      </c>
      <c r="H40" s="136"/>
      <c r="I40" s="135">
        <v>368.6</v>
      </c>
      <c r="J40" s="136">
        <f t="shared" si="1"/>
        <v>50.73</v>
      </c>
    </row>
    <row r="41" spans="1:10" s="110" customFormat="1" ht="19.5" customHeight="1">
      <c r="A41" s="138" t="s">
        <v>634</v>
      </c>
      <c r="B41" s="135"/>
      <c r="C41" s="79">
        <v>186.8</v>
      </c>
      <c r="D41" s="79">
        <v>186.8</v>
      </c>
      <c r="E41" s="79">
        <v>186.8</v>
      </c>
      <c r="F41" s="135"/>
      <c r="G41" s="136">
        <f t="shared" si="2"/>
        <v>0</v>
      </c>
      <c r="H41" s="136">
        <f t="shared" si="0"/>
        <v>0</v>
      </c>
      <c r="I41" s="23"/>
      <c r="J41" s="136">
        <f t="shared" si="1"/>
        <v>0</v>
      </c>
    </row>
    <row r="42" spans="1:10" s="110" customFormat="1" ht="19.5" customHeight="1">
      <c r="A42" s="137" t="s">
        <v>572</v>
      </c>
      <c r="B42" s="135">
        <f aca="true" t="shared" si="5" ref="B42:F44">B43</f>
        <v>0</v>
      </c>
      <c r="C42" s="135">
        <f t="shared" si="5"/>
        <v>46800</v>
      </c>
      <c r="D42" s="135">
        <f t="shared" si="5"/>
        <v>46800</v>
      </c>
      <c r="E42" s="135">
        <f t="shared" si="5"/>
        <v>46800</v>
      </c>
      <c r="F42" s="135">
        <f t="shared" si="5"/>
        <v>46800</v>
      </c>
      <c r="G42" s="136">
        <f t="shared" si="2"/>
        <v>0</v>
      </c>
      <c r="H42" s="136">
        <f t="shared" si="0"/>
        <v>100</v>
      </c>
      <c r="I42" s="135">
        <f>I43</f>
        <v>380600</v>
      </c>
      <c r="J42" s="136">
        <f t="shared" si="1"/>
        <v>12.3</v>
      </c>
    </row>
    <row r="43" spans="1:10" s="110" customFormat="1" ht="19.5" customHeight="1">
      <c r="A43" s="138" t="s">
        <v>566</v>
      </c>
      <c r="B43" s="135">
        <f t="shared" si="5"/>
        <v>0</v>
      </c>
      <c r="C43" s="135">
        <f t="shared" si="5"/>
        <v>46800</v>
      </c>
      <c r="D43" s="135">
        <f t="shared" si="5"/>
        <v>46800</v>
      </c>
      <c r="E43" s="135">
        <f t="shared" si="5"/>
        <v>46800</v>
      </c>
      <c r="F43" s="135">
        <f t="shared" si="5"/>
        <v>46800</v>
      </c>
      <c r="G43" s="136">
        <f t="shared" si="2"/>
        <v>0</v>
      </c>
      <c r="H43" s="136">
        <f t="shared" si="0"/>
        <v>100</v>
      </c>
      <c r="I43" s="135">
        <f>I44</f>
        <v>380600</v>
      </c>
      <c r="J43" s="136">
        <f t="shared" si="1"/>
        <v>12.3</v>
      </c>
    </row>
    <row r="44" spans="1:10" s="110" customFormat="1" ht="19.5" customHeight="1">
      <c r="A44" s="138" t="s">
        <v>635</v>
      </c>
      <c r="B44" s="135">
        <f t="shared" si="5"/>
        <v>0</v>
      </c>
      <c r="C44" s="135">
        <f t="shared" si="5"/>
        <v>46800</v>
      </c>
      <c r="D44" s="135">
        <f t="shared" si="5"/>
        <v>46800</v>
      </c>
      <c r="E44" s="135">
        <f t="shared" si="5"/>
        <v>46800</v>
      </c>
      <c r="F44" s="135">
        <f t="shared" si="5"/>
        <v>46800</v>
      </c>
      <c r="G44" s="136">
        <f t="shared" si="2"/>
        <v>0</v>
      </c>
      <c r="H44" s="136">
        <f t="shared" si="0"/>
        <v>100</v>
      </c>
      <c r="I44" s="135">
        <f>I45</f>
        <v>380600</v>
      </c>
      <c r="J44" s="136">
        <f t="shared" si="1"/>
        <v>12.3</v>
      </c>
    </row>
    <row r="45" spans="1:10" s="110" customFormat="1" ht="19.5" customHeight="1">
      <c r="A45" s="138" t="s">
        <v>636</v>
      </c>
      <c r="B45" s="135"/>
      <c r="C45" s="79">
        <v>46800</v>
      </c>
      <c r="D45" s="79">
        <v>46800</v>
      </c>
      <c r="E45" s="79">
        <v>46800</v>
      </c>
      <c r="F45" s="79">
        <v>46800</v>
      </c>
      <c r="G45" s="136">
        <f t="shared" si="2"/>
        <v>0</v>
      </c>
      <c r="H45" s="136">
        <f t="shared" si="0"/>
        <v>100</v>
      </c>
      <c r="I45" s="135">
        <v>380600</v>
      </c>
      <c r="J45" s="136">
        <f t="shared" si="1"/>
        <v>12.3</v>
      </c>
    </row>
  </sheetData>
  <sheetProtection/>
  <mergeCells count="1">
    <mergeCell ref="A2:J2"/>
  </mergeCells>
  <printOptions horizontalCentered="1"/>
  <pageMargins left="0.35433070866141736" right="0.35433070866141736" top="0.4724409448818898" bottom="0.5511811023622047" header="0.31496062992125984" footer="0.2755905511811024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" sqref="A9"/>
    </sheetView>
  </sheetViews>
  <sheetFormatPr defaultColWidth="9.00390625" defaultRowHeight="14.25" customHeight="1"/>
  <cols>
    <col min="1" max="1" width="66.50390625" style="34" customWidth="1"/>
    <col min="2" max="3" width="12.625" style="34" customWidth="1"/>
    <col min="4" max="5" width="12.625" style="34" hidden="1" customWidth="1"/>
    <col min="6" max="8" width="12.625" style="34" customWidth="1"/>
    <col min="9" max="9" width="12.625" style="34" hidden="1" customWidth="1"/>
    <col min="10" max="10" width="13.625" style="34" customWidth="1"/>
    <col min="11" max="16384" width="9.00390625" style="34" customWidth="1"/>
  </cols>
  <sheetData>
    <row r="1" ht="14.25" customHeight="1">
      <c r="A1" s="33" t="s">
        <v>1278</v>
      </c>
    </row>
    <row r="2" spans="1:10" ht="30" customHeight="1">
      <c r="A2" s="388" t="s">
        <v>812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15" customHeight="1">
      <c r="A3" s="35"/>
      <c r="E3" s="37">
        <f>E5-F5</f>
        <v>67561</v>
      </c>
      <c r="I3" s="36"/>
      <c r="J3" s="36" t="s">
        <v>519</v>
      </c>
    </row>
    <row r="4" spans="1:10" s="110" customFormat="1" ht="39.75" customHeight="1">
      <c r="A4" s="108" t="s">
        <v>689</v>
      </c>
      <c r="B4" s="108" t="s">
        <v>66</v>
      </c>
      <c r="C4" s="109" t="s">
        <v>42</v>
      </c>
      <c r="D4" s="109" t="s">
        <v>67</v>
      </c>
      <c r="E4" s="109" t="s">
        <v>68</v>
      </c>
      <c r="F4" s="109" t="s">
        <v>43</v>
      </c>
      <c r="G4" s="109" t="s">
        <v>20</v>
      </c>
      <c r="H4" s="109" t="s">
        <v>45</v>
      </c>
      <c r="I4" s="150" t="s">
        <v>81</v>
      </c>
      <c r="J4" s="150" t="s">
        <v>809</v>
      </c>
    </row>
    <row r="5" spans="1:10" s="110" customFormat="1" ht="19.5" customHeight="1">
      <c r="A5" s="134" t="s">
        <v>691</v>
      </c>
      <c r="B5" s="79">
        <f>B6+B42</f>
        <v>273405</v>
      </c>
      <c r="C5" s="79">
        <f>C6+C42</f>
        <v>357504</v>
      </c>
      <c r="D5" s="79">
        <f>D6+D42</f>
        <v>320918</v>
      </c>
      <c r="E5" s="79">
        <f>E6+E42</f>
        <v>382522</v>
      </c>
      <c r="F5" s="79">
        <f>F6+F42</f>
        <v>314961</v>
      </c>
      <c r="G5" s="136">
        <f>IF(B5=0,0,F5/B5*100)</f>
        <v>115.2</v>
      </c>
      <c r="H5" s="136">
        <f>F5/C5*100</f>
        <v>88.1</v>
      </c>
      <c r="I5" s="135">
        <f>I6+I42</f>
        <v>642645</v>
      </c>
      <c r="J5" s="136">
        <f>IF(F5=0,0,F5/I5*100)</f>
        <v>49.01</v>
      </c>
    </row>
    <row r="6" spans="1:10" s="110" customFormat="1" ht="19.5" customHeight="1">
      <c r="A6" s="137" t="s">
        <v>571</v>
      </c>
      <c r="B6" s="135">
        <f>B7+B21+B26+B29+B35+B38</f>
        <v>273405</v>
      </c>
      <c r="C6" s="79">
        <v>310704</v>
      </c>
      <c r="D6" s="135">
        <f>D7+D21+D26+D29+D35+D38</f>
        <v>274118</v>
      </c>
      <c r="E6" s="135">
        <f>E7+E21+E26+E29+E35+E38</f>
        <v>335722</v>
      </c>
      <c r="F6" s="135">
        <f>F7+F21+F26+F29+F35+F38</f>
        <v>268161</v>
      </c>
      <c r="G6" s="136">
        <f>IF(B6=0,0,F6/B6*100)</f>
        <v>98.08</v>
      </c>
      <c r="H6" s="136">
        <f aca="true" t="shared" si="0" ref="H6:H45">F6/C6*100</f>
        <v>86.31</v>
      </c>
      <c r="I6" s="135">
        <f>I7+I21+I26+I29+I35+I38</f>
        <v>262045</v>
      </c>
      <c r="J6" s="136">
        <f aca="true" t="shared" si="1" ref="J6:J45">IF(F6=0,0,F6/I6*100)</f>
        <v>102.33</v>
      </c>
    </row>
    <row r="7" spans="1:10" s="110" customFormat="1" ht="19.5" customHeight="1">
      <c r="A7" s="138" t="s">
        <v>552</v>
      </c>
      <c r="B7" s="135">
        <f>B8+B12+B14+B15+B17+1</f>
        <v>261215</v>
      </c>
      <c r="C7" s="79">
        <v>295524</v>
      </c>
      <c r="D7" s="135">
        <f>D8+D12+D14+D15+D17</f>
        <v>259144</v>
      </c>
      <c r="E7" s="135">
        <f>E8+E12+E14+E15+E17</f>
        <v>319774</v>
      </c>
      <c r="F7" s="135">
        <f>F8+F12+F14+F15+F17</f>
        <v>253431</v>
      </c>
      <c r="G7" s="136">
        <f aca="true" t="shared" si="2" ref="G7:G45">IF(B7=0,0,F7/B7*100)</f>
        <v>97.02</v>
      </c>
      <c r="H7" s="136">
        <f t="shared" si="0"/>
        <v>85.76</v>
      </c>
      <c r="I7" s="135">
        <f>I8+I12+I14+I15+I17</f>
        <v>259318</v>
      </c>
      <c r="J7" s="136">
        <f t="shared" si="1"/>
        <v>97.73</v>
      </c>
    </row>
    <row r="8" spans="1:10" s="110" customFormat="1" ht="19.5" customHeight="1">
      <c r="A8" s="138" t="s">
        <v>609</v>
      </c>
      <c r="B8" s="135">
        <f>B9+B10+B11</f>
        <v>226170</v>
      </c>
      <c r="C8" s="79">
        <v>286284</v>
      </c>
      <c r="D8" s="135">
        <f>D9+D10+D11</f>
        <v>259144</v>
      </c>
      <c r="E8" s="135">
        <f>313722-4131</f>
        <v>309591</v>
      </c>
      <c r="F8" s="135">
        <f>F9+F10+F11</f>
        <v>253431</v>
      </c>
      <c r="G8" s="136">
        <f t="shared" si="2"/>
        <v>112.05</v>
      </c>
      <c r="H8" s="136">
        <f t="shared" si="0"/>
        <v>88.52</v>
      </c>
      <c r="I8" s="135">
        <f>SUM(I9:I11)</f>
        <v>259194</v>
      </c>
      <c r="J8" s="136">
        <f t="shared" si="1"/>
        <v>97.78</v>
      </c>
    </row>
    <row r="9" spans="1:10" s="110" customFormat="1" ht="19.5" customHeight="1">
      <c r="A9" s="138" t="s">
        <v>610</v>
      </c>
      <c r="B9" s="151">
        <v>156129</v>
      </c>
      <c r="C9" s="79">
        <v>255504</v>
      </c>
      <c r="D9" s="79">
        <v>245493</v>
      </c>
      <c r="E9" s="139"/>
      <c r="F9" s="219">
        <v>245493</v>
      </c>
      <c r="G9" s="136">
        <f t="shared" si="2"/>
        <v>157.24</v>
      </c>
      <c r="H9" s="136">
        <f t="shared" si="0"/>
        <v>96.08</v>
      </c>
      <c r="I9" s="135">
        <v>121728</v>
      </c>
      <c r="J9" s="136">
        <f t="shared" si="1"/>
        <v>201.67</v>
      </c>
    </row>
    <row r="10" spans="1:10" s="110" customFormat="1" ht="19.5" customHeight="1">
      <c r="A10" s="138" t="s">
        <v>611</v>
      </c>
      <c r="B10" s="151">
        <v>69596</v>
      </c>
      <c r="C10" s="79">
        <v>28741</v>
      </c>
      <c r="D10" s="79">
        <v>13274</v>
      </c>
      <c r="E10" s="139"/>
      <c r="F10" s="219">
        <f>11687-4131</f>
        <v>7556</v>
      </c>
      <c r="G10" s="136">
        <f t="shared" si="2"/>
        <v>10.86</v>
      </c>
      <c r="H10" s="136">
        <f t="shared" si="0"/>
        <v>26.29</v>
      </c>
      <c r="I10" s="135">
        <f>141598-4132</f>
        <v>137466</v>
      </c>
      <c r="J10" s="136">
        <f t="shared" si="1"/>
        <v>5.5</v>
      </c>
    </row>
    <row r="11" spans="1:10" s="110" customFormat="1" ht="19.5" customHeight="1">
      <c r="A11" s="138" t="s">
        <v>612</v>
      </c>
      <c r="B11" s="151">
        <v>445</v>
      </c>
      <c r="C11" s="79">
        <v>2039</v>
      </c>
      <c r="D11" s="79">
        <f>382-5</f>
        <v>377</v>
      </c>
      <c r="E11" s="139"/>
      <c r="F11" s="135">
        <v>382</v>
      </c>
      <c r="G11" s="136">
        <f t="shared" si="2"/>
        <v>85.84</v>
      </c>
      <c r="H11" s="136">
        <f t="shared" si="0"/>
        <v>18.73</v>
      </c>
      <c r="I11" s="135"/>
      <c r="J11" s="136"/>
    </row>
    <row r="12" spans="1:10" s="110" customFormat="1" ht="19.5" customHeight="1">
      <c r="A12" s="138" t="s">
        <v>613</v>
      </c>
      <c r="B12" s="135">
        <f>B13</f>
        <v>6344</v>
      </c>
      <c r="C12" s="79">
        <v>4196</v>
      </c>
      <c r="D12" s="135">
        <f>D13</f>
        <v>0</v>
      </c>
      <c r="E12" s="135">
        <v>4258</v>
      </c>
      <c r="F12" s="135"/>
      <c r="G12" s="136">
        <f t="shared" si="2"/>
        <v>0</v>
      </c>
      <c r="H12" s="136">
        <f t="shared" si="0"/>
        <v>0</v>
      </c>
      <c r="I12" s="135">
        <f>I13</f>
        <v>0</v>
      </c>
      <c r="J12" s="136">
        <f t="shared" si="1"/>
        <v>0</v>
      </c>
    </row>
    <row r="13" spans="1:10" s="110" customFormat="1" ht="19.5" customHeight="1">
      <c r="A13" s="138" t="s">
        <v>614</v>
      </c>
      <c r="B13" s="151">
        <v>6344</v>
      </c>
      <c r="C13" s="79">
        <v>4196</v>
      </c>
      <c r="D13" s="135">
        <v>0</v>
      </c>
      <c r="E13" s="135"/>
      <c r="F13" s="135"/>
      <c r="G13" s="136">
        <f t="shared" si="2"/>
        <v>0</v>
      </c>
      <c r="H13" s="136">
        <f t="shared" si="0"/>
        <v>0</v>
      </c>
      <c r="I13" s="136"/>
      <c r="J13" s="136">
        <f t="shared" si="1"/>
        <v>0</v>
      </c>
    </row>
    <row r="14" spans="1:10" s="110" customFormat="1" ht="19.5" customHeight="1">
      <c r="A14" s="138" t="s">
        <v>615</v>
      </c>
      <c r="B14" s="151">
        <v>24858</v>
      </c>
      <c r="C14" s="79">
        <v>5044</v>
      </c>
      <c r="D14" s="135">
        <v>0</v>
      </c>
      <c r="E14" s="135">
        <v>5925</v>
      </c>
      <c r="F14" s="135"/>
      <c r="G14" s="136">
        <f t="shared" si="2"/>
        <v>0</v>
      </c>
      <c r="H14" s="136">
        <f t="shared" si="0"/>
        <v>0</v>
      </c>
      <c r="I14" s="135">
        <v>103</v>
      </c>
      <c r="J14" s="136">
        <f t="shared" si="1"/>
        <v>0</v>
      </c>
    </row>
    <row r="15" spans="1:10" s="110" customFormat="1" ht="19.5" customHeight="1">
      <c r="A15" s="138" t="s">
        <v>616</v>
      </c>
      <c r="B15" s="135">
        <f>B16</f>
        <v>3833</v>
      </c>
      <c r="C15" s="135">
        <f>C16</f>
        <v>0</v>
      </c>
      <c r="D15" s="135">
        <f>D16</f>
        <v>0</v>
      </c>
      <c r="E15" s="135">
        <f>E16</f>
        <v>0</v>
      </c>
      <c r="F15" s="135"/>
      <c r="G15" s="136">
        <f t="shared" si="2"/>
        <v>0</v>
      </c>
      <c r="H15" s="136"/>
      <c r="I15" s="135">
        <f>I16</f>
        <v>0</v>
      </c>
      <c r="J15" s="136">
        <f t="shared" si="1"/>
        <v>0</v>
      </c>
    </row>
    <row r="16" spans="1:10" s="110" customFormat="1" ht="19.5" customHeight="1">
      <c r="A16" s="138" t="s">
        <v>617</v>
      </c>
      <c r="B16" s="151">
        <v>3833.06</v>
      </c>
      <c r="C16" s="135">
        <v>0</v>
      </c>
      <c r="D16" s="135">
        <v>0</v>
      </c>
      <c r="E16" s="135">
        <v>0</v>
      </c>
      <c r="F16" s="135"/>
      <c r="G16" s="136">
        <f t="shared" si="2"/>
        <v>0</v>
      </c>
      <c r="H16" s="136"/>
      <c r="I16" s="136"/>
      <c r="J16" s="136">
        <f t="shared" si="1"/>
        <v>0</v>
      </c>
    </row>
    <row r="17" spans="1:10" s="110" customFormat="1" ht="19.5" customHeight="1">
      <c r="A17" s="138" t="s">
        <v>618</v>
      </c>
      <c r="B17" s="135">
        <f>B18+B19+B20</f>
        <v>9</v>
      </c>
      <c r="C17" s="135">
        <f>C18+C19+C20</f>
        <v>0</v>
      </c>
      <c r="D17" s="135">
        <f>D18+D19+D20</f>
        <v>0</v>
      </c>
      <c r="E17" s="135">
        <f>E18+E19+E20</f>
        <v>0</v>
      </c>
      <c r="F17" s="135">
        <f>F18+F19+F20</f>
        <v>0</v>
      </c>
      <c r="G17" s="136">
        <f t="shared" si="2"/>
        <v>0</v>
      </c>
      <c r="H17" s="136"/>
      <c r="I17" s="135">
        <f>I18+I19+I20</f>
        <v>21</v>
      </c>
      <c r="J17" s="136">
        <f t="shared" si="1"/>
        <v>0</v>
      </c>
    </row>
    <row r="18" spans="1:10" s="110" customFormat="1" ht="19.5" customHeight="1">
      <c r="A18" s="138" t="s">
        <v>619</v>
      </c>
      <c r="B18" s="151">
        <v>9</v>
      </c>
      <c r="C18" s="135"/>
      <c r="D18" s="135">
        <v>0</v>
      </c>
      <c r="E18" s="135">
        <v>0</v>
      </c>
      <c r="F18" s="135"/>
      <c r="G18" s="136">
        <f t="shared" si="2"/>
        <v>0</v>
      </c>
      <c r="H18" s="136"/>
      <c r="I18" s="136"/>
      <c r="J18" s="136">
        <f t="shared" si="1"/>
        <v>0</v>
      </c>
    </row>
    <row r="19" spans="1:10" s="110" customFormat="1" ht="19.5" customHeight="1">
      <c r="A19" s="138" t="s">
        <v>620</v>
      </c>
      <c r="B19" s="79">
        <v>0</v>
      </c>
      <c r="C19" s="135"/>
      <c r="D19" s="135">
        <v>0</v>
      </c>
      <c r="E19" s="135">
        <v>0</v>
      </c>
      <c r="F19" s="135"/>
      <c r="G19" s="136">
        <f t="shared" si="2"/>
        <v>0</v>
      </c>
      <c r="H19" s="136"/>
      <c r="I19" s="135">
        <v>9</v>
      </c>
      <c r="J19" s="136">
        <f t="shared" si="1"/>
        <v>0</v>
      </c>
    </row>
    <row r="20" spans="1:10" s="110" customFormat="1" ht="19.5" customHeight="1">
      <c r="A20" s="138" t="s">
        <v>621</v>
      </c>
      <c r="B20" s="79">
        <v>0</v>
      </c>
      <c r="C20" s="135"/>
      <c r="D20" s="135">
        <v>0</v>
      </c>
      <c r="E20" s="135">
        <v>0</v>
      </c>
      <c r="F20" s="135"/>
      <c r="G20" s="136">
        <f t="shared" si="2"/>
        <v>0</v>
      </c>
      <c r="H20" s="136"/>
      <c r="I20" s="135">
        <v>12</v>
      </c>
      <c r="J20" s="136">
        <f t="shared" si="1"/>
        <v>0</v>
      </c>
    </row>
    <row r="21" spans="1:10" s="272" customFormat="1" ht="19.5" customHeight="1">
      <c r="A21" s="138" t="s">
        <v>569</v>
      </c>
      <c r="B21" s="135">
        <f>B22+B24</f>
        <v>257</v>
      </c>
      <c r="C21" s="271">
        <v>210</v>
      </c>
      <c r="D21" s="135">
        <f>D22+D24</f>
        <v>28</v>
      </c>
      <c r="E21" s="135">
        <f>E22+E24</f>
        <v>210</v>
      </c>
      <c r="F21" s="135">
        <f>F22+F24</f>
        <v>28</v>
      </c>
      <c r="G21" s="136">
        <f t="shared" si="2"/>
        <v>10.89</v>
      </c>
      <c r="H21" s="136">
        <f t="shared" si="0"/>
        <v>13.33</v>
      </c>
      <c r="I21" s="135">
        <f>I22+I24</f>
        <v>13</v>
      </c>
      <c r="J21" s="136">
        <f t="shared" si="1"/>
        <v>215.38</v>
      </c>
    </row>
    <row r="22" spans="1:10" s="272" customFormat="1" ht="19.5" customHeight="1">
      <c r="A22" s="138" t="s">
        <v>622</v>
      </c>
      <c r="B22" s="135">
        <f>B23</f>
        <v>15</v>
      </c>
      <c r="C22" s="271">
        <v>0</v>
      </c>
      <c r="D22" s="135">
        <f>D23</f>
        <v>0</v>
      </c>
      <c r="E22" s="135">
        <f>E23</f>
        <v>0</v>
      </c>
      <c r="F22" s="135"/>
      <c r="G22" s="136">
        <f t="shared" si="2"/>
        <v>0</v>
      </c>
      <c r="H22" s="136"/>
      <c r="I22" s="135">
        <f>I23</f>
        <v>0</v>
      </c>
      <c r="J22" s="136">
        <f t="shared" si="1"/>
        <v>0</v>
      </c>
    </row>
    <row r="23" spans="1:10" s="272" customFormat="1" ht="19.5" customHeight="1">
      <c r="A23" s="138" t="s">
        <v>623</v>
      </c>
      <c r="B23" s="151">
        <v>15</v>
      </c>
      <c r="C23" s="271">
        <v>0</v>
      </c>
      <c r="D23" s="135">
        <v>0</v>
      </c>
      <c r="E23" s="135">
        <v>0</v>
      </c>
      <c r="F23" s="135"/>
      <c r="G23" s="136">
        <f t="shared" si="2"/>
        <v>0</v>
      </c>
      <c r="H23" s="136"/>
      <c r="I23" s="136"/>
      <c r="J23" s="136">
        <f t="shared" si="1"/>
        <v>0</v>
      </c>
    </row>
    <row r="24" spans="1:10" s="272" customFormat="1" ht="19.5" customHeight="1">
      <c r="A24" s="138" t="s">
        <v>624</v>
      </c>
      <c r="B24" s="135">
        <f>B25</f>
        <v>242</v>
      </c>
      <c r="C24" s="271">
        <v>210</v>
      </c>
      <c r="D24" s="135">
        <f>D25</f>
        <v>28</v>
      </c>
      <c r="E24" s="135">
        <f>E25</f>
        <v>210</v>
      </c>
      <c r="F24" s="135">
        <f>F25</f>
        <v>28</v>
      </c>
      <c r="G24" s="136">
        <f t="shared" si="2"/>
        <v>11.57</v>
      </c>
      <c r="H24" s="136">
        <f t="shared" si="0"/>
        <v>13.33</v>
      </c>
      <c r="I24" s="135">
        <f>I25</f>
        <v>13</v>
      </c>
      <c r="J24" s="136">
        <f t="shared" si="1"/>
        <v>215.38</v>
      </c>
    </row>
    <row r="25" spans="1:10" s="272" customFormat="1" ht="19.5" customHeight="1">
      <c r="A25" s="138" t="s">
        <v>625</v>
      </c>
      <c r="B25" s="151">
        <v>242</v>
      </c>
      <c r="C25" s="271">
        <v>210</v>
      </c>
      <c r="D25" s="271">
        <f>23+5</f>
        <v>28</v>
      </c>
      <c r="E25" s="271">
        <v>210</v>
      </c>
      <c r="F25" s="135">
        <v>28</v>
      </c>
      <c r="G25" s="136">
        <f t="shared" si="2"/>
        <v>11.57</v>
      </c>
      <c r="H25" s="136">
        <f t="shared" si="0"/>
        <v>13.33</v>
      </c>
      <c r="I25" s="135">
        <v>13</v>
      </c>
      <c r="J25" s="136">
        <f t="shared" si="1"/>
        <v>215.38</v>
      </c>
    </row>
    <row r="26" spans="1:10" s="272" customFormat="1" ht="19.5" customHeight="1">
      <c r="A26" s="138" t="s">
        <v>556</v>
      </c>
      <c r="B26" s="135">
        <f aca="true" t="shared" si="3" ref="B26:F27">B27</f>
        <v>0</v>
      </c>
      <c r="C26" s="135">
        <f t="shared" si="3"/>
        <v>20</v>
      </c>
      <c r="D26" s="135">
        <f t="shared" si="3"/>
        <v>20</v>
      </c>
      <c r="E26" s="135">
        <f t="shared" si="3"/>
        <v>20</v>
      </c>
      <c r="F26" s="135">
        <f t="shared" si="3"/>
        <v>20</v>
      </c>
      <c r="G26" s="136">
        <f t="shared" si="2"/>
        <v>0</v>
      </c>
      <c r="H26" s="136">
        <f t="shared" si="0"/>
        <v>100</v>
      </c>
      <c r="I26" s="135">
        <f>I27</f>
        <v>11</v>
      </c>
      <c r="J26" s="136">
        <f t="shared" si="1"/>
        <v>181.82</v>
      </c>
    </row>
    <row r="27" spans="1:10" s="272" customFormat="1" ht="19.5" customHeight="1">
      <c r="A27" s="138" t="s">
        <v>626</v>
      </c>
      <c r="B27" s="135">
        <f t="shared" si="3"/>
        <v>0</v>
      </c>
      <c r="C27" s="135">
        <f t="shared" si="3"/>
        <v>20</v>
      </c>
      <c r="D27" s="135">
        <f t="shared" si="3"/>
        <v>20</v>
      </c>
      <c r="E27" s="135">
        <f t="shared" si="3"/>
        <v>20</v>
      </c>
      <c r="F27" s="135">
        <f t="shared" si="3"/>
        <v>20</v>
      </c>
      <c r="G27" s="136">
        <f t="shared" si="2"/>
        <v>0</v>
      </c>
      <c r="H27" s="136">
        <f t="shared" si="0"/>
        <v>100</v>
      </c>
      <c r="I27" s="135">
        <v>11</v>
      </c>
      <c r="J27" s="136">
        <f t="shared" si="1"/>
        <v>181.82</v>
      </c>
    </row>
    <row r="28" spans="1:10" s="272" customFormat="1" ht="19.5" customHeight="1">
      <c r="A28" s="138" t="s">
        <v>627</v>
      </c>
      <c r="B28" s="135">
        <v>0</v>
      </c>
      <c r="C28" s="271">
        <v>20</v>
      </c>
      <c r="D28" s="271">
        <v>20</v>
      </c>
      <c r="E28" s="271">
        <v>20</v>
      </c>
      <c r="F28" s="135">
        <v>20</v>
      </c>
      <c r="G28" s="136">
        <f t="shared" si="2"/>
        <v>0</v>
      </c>
      <c r="H28" s="136">
        <f t="shared" si="0"/>
        <v>100</v>
      </c>
      <c r="I28" s="135">
        <v>11</v>
      </c>
      <c r="J28" s="136">
        <f t="shared" si="1"/>
        <v>181.82</v>
      </c>
    </row>
    <row r="29" spans="1:10" s="272" customFormat="1" ht="19.5" customHeight="1">
      <c r="A29" s="138" t="s">
        <v>563</v>
      </c>
      <c r="B29" s="135">
        <f>B30</f>
        <v>637</v>
      </c>
      <c r="C29" s="135">
        <f>C30</f>
        <v>2472</v>
      </c>
      <c r="D29" s="135">
        <f>D30</f>
        <v>2448</v>
      </c>
      <c r="E29" s="135">
        <f>E30</f>
        <v>3240</v>
      </c>
      <c r="F29" s="135">
        <f>F30</f>
        <v>2204</v>
      </c>
      <c r="G29" s="136">
        <f t="shared" si="2"/>
        <v>346</v>
      </c>
      <c r="H29" s="136">
        <f t="shared" si="0"/>
        <v>89.16</v>
      </c>
      <c r="I29" s="135">
        <f>I30</f>
        <v>1679</v>
      </c>
      <c r="J29" s="136">
        <f t="shared" si="1"/>
        <v>131.27</v>
      </c>
    </row>
    <row r="30" spans="1:10" s="110" customFormat="1" ht="19.5" customHeight="1">
      <c r="A30" s="138" t="s">
        <v>628</v>
      </c>
      <c r="B30" s="135">
        <f>B31+B32</f>
        <v>637</v>
      </c>
      <c r="C30" s="135">
        <f>C31+C32</f>
        <v>2472</v>
      </c>
      <c r="D30" s="135">
        <f>D31+D32</f>
        <v>2448</v>
      </c>
      <c r="E30" s="135">
        <v>3240</v>
      </c>
      <c r="F30" s="135">
        <f>F31+F32</f>
        <v>2204</v>
      </c>
      <c r="G30" s="136">
        <f t="shared" si="2"/>
        <v>346</v>
      </c>
      <c r="H30" s="136">
        <f t="shared" si="0"/>
        <v>89.16</v>
      </c>
      <c r="I30" s="135">
        <f>SUM(I31:I34)</f>
        <v>1679</v>
      </c>
      <c r="J30" s="136">
        <f t="shared" si="1"/>
        <v>131.27</v>
      </c>
    </row>
    <row r="31" spans="1:10" s="110" customFormat="1" ht="19.5" customHeight="1">
      <c r="A31" s="138" t="s">
        <v>629</v>
      </c>
      <c r="B31" s="151">
        <v>488.5</v>
      </c>
      <c r="C31" s="79">
        <f>2007-767</f>
        <v>1240</v>
      </c>
      <c r="D31" s="79">
        <f>2007-767</f>
        <v>1240</v>
      </c>
      <c r="E31" s="135"/>
      <c r="F31" s="135">
        <v>1267</v>
      </c>
      <c r="G31" s="136">
        <f t="shared" si="2"/>
        <v>259.37</v>
      </c>
      <c r="H31" s="136">
        <f t="shared" si="0"/>
        <v>102.18</v>
      </c>
      <c r="I31" s="135">
        <v>225.5525</v>
      </c>
      <c r="J31" s="136">
        <f t="shared" si="1"/>
        <v>561.73</v>
      </c>
    </row>
    <row r="32" spans="1:10" s="110" customFormat="1" ht="19.5" customHeight="1">
      <c r="A32" s="138" t="s">
        <v>630</v>
      </c>
      <c r="B32" s="151">
        <v>148</v>
      </c>
      <c r="C32" s="79">
        <f>465+767</f>
        <v>1232</v>
      </c>
      <c r="D32" s="79">
        <f>441+767</f>
        <v>1208</v>
      </c>
      <c r="E32" s="135"/>
      <c r="F32" s="135">
        <v>937</v>
      </c>
      <c r="G32" s="136">
        <f t="shared" si="2"/>
        <v>633.11</v>
      </c>
      <c r="H32" s="136">
        <f t="shared" si="0"/>
        <v>76.06</v>
      </c>
      <c r="I32" s="135">
        <v>1453</v>
      </c>
      <c r="J32" s="136">
        <f t="shared" si="1"/>
        <v>64.49</v>
      </c>
    </row>
    <row r="33" spans="1:10" s="110" customFormat="1" ht="19.5" customHeight="1">
      <c r="A33" s="138" t="s">
        <v>69</v>
      </c>
      <c r="B33" s="135"/>
      <c r="C33" s="135"/>
      <c r="D33" s="135"/>
      <c r="E33" s="135"/>
      <c r="F33" s="135"/>
      <c r="G33" s="136">
        <f t="shared" si="2"/>
        <v>0</v>
      </c>
      <c r="H33" s="136"/>
      <c r="I33" s="135"/>
      <c r="J33" s="136">
        <f t="shared" si="1"/>
        <v>0</v>
      </c>
    </row>
    <row r="34" spans="1:10" s="110" customFormat="1" ht="19.5" customHeight="1">
      <c r="A34" s="138" t="s">
        <v>70</v>
      </c>
      <c r="B34" s="135"/>
      <c r="C34" s="135"/>
      <c r="D34" s="135"/>
      <c r="E34" s="135"/>
      <c r="F34" s="135"/>
      <c r="G34" s="136">
        <f t="shared" si="2"/>
        <v>0</v>
      </c>
      <c r="H34" s="136"/>
      <c r="I34" s="135"/>
      <c r="J34" s="136">
        <f t="shared" si="1"/>
        <v>0</v>
      </c>
    </row>
    <row r="35" spans="1:10" s="110" customFormat="1" ht="19.5" customHeight="1">
      <c r="A35" s="138" t="s">
        <v>565</v>
      </c>
      <c r="B35" s="135">
        <f aca="true" t="shared" si="4" ref="B35:F36">B36</f>
        <v>11296</v>
      </c>
      <c r="C35" s="135">
        <f t="shared" si="4"/>
        <v>12291</v>
      </c>
      <c r="D35" s="135">
        <f t="shared" si="4"/>
        <v>12291</v>
      </c>
      <c r="E35" s="135">
        <f t="shared" si="4"/>
        <v>12291</v>
      </c>
      <c r="F35" s="135">
        <f t="shared" si="4"/>
        <v>12291</v>
      </c>
      <c r="G35" s="136">
        <f t="shared" si="2"/>
        <v>108.81</v>
      </c>
      <c r="H35" s="136">
        <f t="shared" si="0"/>
        <v>100</v>
      </c>
      <c r="I35" s="135">
        <f>I36</f>
        <v>655</v>
      </c>
      <c r="J35" s="136">
        <f t="shared" si="1"/>
        <v>1876.49</v>
      </c>
    </row>
    <row r="36" spans="1:10" s="110" customFormat="1" ht="19.5" customHeight="1">
      <c r="A36" s="138" t="s">
        <v>631</v>
      </c>
      <c r="B36" s="135">
        <f t="shared" si="4"/>
        <v>11296</v>
      </c>
      <c r="C36" s="135">
        <f t="shared" si="4"/>
        <v>12291</v>
      </c>
      <c r="D36" s="135">
        <f t="shared" si="4"/>
        <v>12291</v>
      </c>
      <c r="E36" s="135">
        <f t="shared" si="4"/>
        <v>12291</v>
      </c>
      <c r="F36" s="135">
        <f t="shared" si="4"/>
        <v>12291</v>
      </c>
      <c r="G36" s="136">
        <f t="shared" si="2"/>
        <v>108.81</v>
      </c>
      <c r="H36" s="136">
        <f t="shared" si="0"/>
        <v>100</v>
      </c>
      <c r="I36" s="135">
        <f>I37</f>
        <v>655</v>
      </c>
      <c r="J36" s="136">
        <f t="shared" si="1"/>
        <v>1876.49</v>
      </c>
    </row>
    <row r="37" spans="1:10" s="110" customFormat="1" ht="19.5" customHeight="1">
      <c r="A37" s="138" t="s">
        <v>632</v>
      </c>
      <c r="B37" s="151">
        <v>11296</v>
      </c>
      <c r="C37" s="79">
        <v>12291</v>
      </c>
      <c r="D37" s="79">
        <v>12291</v>
      </c>
      <c r="E37" s="79">
        <v>12291</v>
      </c>
      <c r="F37" s="135">
        <v>12291</v>
      </c>
      <c r="G37" s="136">
        <f t="shared" si="2"/>
        <v>108.81</v>
      </c>
      <c r="H37" s="136">
        <f t="shared" si="0"/>
        <v>100</v>
      </c>
      <c r="I37" s="135">
        <v>655</v>
      </c>
      <c r="J37" s="136">
        <f t="shared" si="1"/>
        <v>1876.49</v>
      </c>
    </row>
    <row r="38" spans="1:10" s="110" customFormat="1" ht="19.5" customHeight="1">
      <c r="A38" s="138" t="s">
        <v>570</v>
      </c>
      <c r="B38" s="135">
        <f>B39</f>
        <v>0</v>
      </c>
      <c r="C38" s="135">
        <f>C39</f>
        <v>187</v>
      </c>
      <c r="D38" s="135">
        <f>D39</f>
        <v>187</v>
      </c>
      <c r="E38" s="135">
        <f>E39</f>
        <v>187</v>
      </c>
      <c r="F38" s="135">
        <f>F39</f>
        <v>187</v>
      </c>
      <c r="G38" s="136">
        <f t="shared" si="2"/>
        <v>0</v>
      </c>
      <c r="H38" s="136">
        <f t="shared" si="0"/>
        <v>100</v>
      </c>
      <c r="I38" s="135">
        <f>I39</f>
        <v>369</v>
      </c>
      <c r="J38" s="136">
        <f t="shared" si="1"/>
        <v>50.68</v>
      </c>
    </row>
    <row r="39" spans="1:10" s="110" customFormat="1" ht="19.5" customHeight="1">
      <c r="A39" s="138" t="s">
        <v>633</v>
      </c>
      <c r="B39" s="135">
        <f>B41</f>
        <v>0</v>
      </c>
      <c r="C39" s="135">
        <f>C40+C41</f>
        <v>187</v>
      </c>
      <c r="D39" s="135">
        <f>D41</f>
        <v>187</v>
      </c>
      <c r="E39" s="135">
        <f>E40+E41</f>
        <v>187</v>
      </c>
      <c r="F39" s="135">
        <f>F40+F41</f>
        <v>187</v>
      </c>
      <c r="G39" s="136">
        <f t="shared" si="2"/>
        <v>0</v>
      </c>
      <c r="H39" s="136">
        <f t="shared" si="0"/>
        <v>100</v>
      </c>
      <c r="I39" s="135">
        <f>I40+I41</f>
        <v>369</v>
      </c>
      <c r="J39" s="136">
        <f t="shared" si="1"/>
        <v>50.68</v>
      </c>
    </row>
    <row r="40" spans="1:10" s="110" customFormat="1" ht="19.5" customHeight="1">
      <c r="A40" s="138" t="s">
        <v>71</v>
      </c>
      <c r="B40" s="135"/>
      <c r="C40" s="79"/>
      <c r="D40" s="135"/>
      <c r="E40" s="135"/>
      <c r="F40" s="135">
        <v>187</v>
      </c>
      <c r="G40" s="136">
        <f t="shared" si="2"/>
        <v>0</v>
      </c>
      <c r="H40" s="136"/>
      <c r="I40" s="135">
        <v>368.6</v>
      </c>
      <c r="J40" s="136">
        <f t="shared" si="1"/>
        <v>50.73</v>
      </c>
    </row>
    <row r="41" spans="1:10" s="110" customFormat="1" ht="19.5" customHeight="1">
      <c r="A41" s="138" t="s">
        <v>634</v>
      </c>
      <c r="B41" s="135"/>
      <c r="C41" s="79">
        <v>186.8</v>
      </c>
      <c r="D41" s="79">
        <v>186.8</v>
      </c>
      <c r="E41" s="79">
        <v>186.8</v>
      </c>
      <c r="F41" s="135"/>
      <c r="G41" s="136">
        <f t="shared" si="2"/>
        <v>0</v>
      </c>
      <c r="H41" s="136">
        <f t="shared" si="0"/>
        <v>0</v>
      </c>
      <c r="I41" s="23"/>
      <c r="J41" s="136">
        <f t="shared" si="1"/>
        <v>0</v>
      </c>
    </row>
    <row r="42" spans="1:10" s="110" customFormat="1" ht="19.5" customHeight="1">
      <c r="A42" s="137" t="s">
        <v>572</v>
      </c>
      <c r="B42" s="135">
        <f aca="true" t="shared" si="5" ref="B42:F44">B43</f>
        <v>0</v>
      </c>
      <c r="C42" s="135">
        <f t="shared" si="5"/>
        <v>46800</v>
      </c>
      <c r="D42" s="135">
        <f t="shared" si="5"/>
        <v>46800</v>
      </c>
      <c r="E42" s="135">
        <f t="shared" si="5"/>
        <v>46800</v>
      </c>
      <c r="F42" s="135">
        <f t="shared" si="5"/>
        <v>46800</v>
      </c>
      <c r="G42" s="136">
        <f t="shared" si="2"/>
        <v>0</v>
      </c>
      <c r="H42" s="136">
        <f t="shared" si="0"/>
        <v>100</v>
      </c>
      <c r="I42" s="135">
        <f>I43</f>
        <v>380600</v>
      </c>
      <c r="J42" s="136">
        <f t="shared" si="1"/>
        <v>12.3</v>
      </c>
    </row>
    <row r="43" spans="1:10" s="110" customFormat="1" ht="19.5" customHeight="1">
      <c r="A43" s="138" t="s">
        <v>566</v>
      </c>
      <c r="B43" s="135">
        <f t="shared" si="5"/>
        <v>0</v>
      </c>
      <c r="C43" s="135">
        <f t="shared" si="5"/>
        <v>46800</v>
      </c>
      <c r="D43" s="135">
        <f t="shared" si="5"/>
        <v>46800</v>
      </c>
      <c r="E43" s="135">
        <f t="shared" si="5"/>
        <v>46800</v>
      </c>
      <c r="F43" s="135">
        <f t="shared" si="5"/>
        <v>46800</v>
      </c>
      <c r="G43" s="136">
        <f t="shared" si="2"/>
        <v>0</v>
      </c>
      <c r="H43" s="136">
        <f t="shared" si="0"/>
        <v>100</v>
      </c>
      <c r="I43" s="135">
        <f>I44</f>
        <v>380600</v>
      </c>
      <c r="J43" s="136">
        <f t="shared" si="1"/>
        <v>12.3</v>
      </c>
    </row>
    <row r="44" spans="1:10" s="110" customFormat="1" ht="19.5" customHeight="1">
      <c r="A44" s="138" t="s">
        <v>635</v>
      </c>
      <c r="B44" s="135">
        <f t="shared" si="5"/>
        <v>0</v>
      </c>
      <c r="C44" s="135">
        <f t="shared" si="5"/>
        <v>46800</v>
      </c>
      <c r="D44" s="135">
        <f t="shared" si="5"/>
        <v>46800</v>
      </c>
      <c r="E44" s="135">
        <f t="shared" si="5"/>
        <v>46800</v>
      </c>
      <c r="F44" s="135">
        <f t="shared" si="5"/>
        <v>46800</v>
      </c>
      <c r="G44" s="136">
        <f t="shared" si="2"/>
        <v>0</v>
      </c>
      <c r="H44" s="136">
        <f t="shared" si="0"/>
        <v>100</v>
      </c>
      <c r="I44" s="135">
        <f>I45</f>
        <v>380600</v>
      </c>
      <c r="J44" s="136">
        <f t="shared" si="1"/>
        <v>12.3</v>
      </c>
    </row>
    <row r="45" spans="1:10" s="110" customFormat="1" ht="19.5" customHeight="1">
      <c r="A45" s="138" t="s">
        <v>636</v>
      </c>
      <c r="B45" s="135"/>
      <c r="C45" s="79">
        <v>46800</v>
      </c>
      <c r="D45" s="79">
        <v>46800</v>
      </c>
      <c r="E45" s="79">
        <v>46800</v>
      </c>
      <c r="F45" s="79">
        <v>46800</v>
      </c>
      <c r="G45" s="136">
        <f t="shared" si="2"/>
        <v>0</v>
      </c>
      <c r="H45" s="136">
        <f t="shared" si="0"/>
        <v>100</v>
      </c>
      <c r="I45" s="135">
        <v>380600</v>
      </c>
      <c r="J45" s="136">
        <f t="shared" si="1"/>
        <v>12.3</v>
      </c>
    </row>
    <row r="47" ht="15" customHeight="1"/>
  </sheetData>
  <sheetProtection/>
  <mergeCells count="1">
    <mergeCell ref="A2:J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52.00390625" style="300" bestFit="1" customWidth="1"/>
    <col min="2" max="2" width="51.375" style="281" customWidth="1"/>
    <col min="3" max="5" width="13.25390625" style="278" bestFit="1" customWidth="1"/>
    <col min="6" max="6" width="9.00390625" style="278" customWidth="1"/>
    <col min="7" max="7" width="9.625" style="278" bestFit="1" customWidth="1"/>
    <col min="8" max="195" width="9.00390625" style="278" customWidth="1"/>
    <col min="196" max="196" width="46.125" style="278" customWidth="1"/>
    <col min="197" max="197" width="16.75390625" style="278" customWidth="1"/>
    <col min="198" max="199" width="14.75390625" style="278" customWidth="1"/>
    <col min="200" max="200" width="11.375" style="278" customWidth="1"/>
    <col min="201" max="201" width="9.50390625" style="278" bestFit="1" customWidth="1"/>
    <col min="202" max="16384" width="9.00390625" style="278" customWidth="1"/>
  </cols>
  <sheetData>
    <row r="1" ht="12.75">
      <c r="A1" s="280" t="s">
        <v>638</v>
      </c>
    </row>
    <row r="2" spans="1:7" ht="20.25">
      <c r="A2" s="379" t="s">
        <v>1292</v>
      </c>
      <c r="B2" s="380"/>
      <c r="C2" s="380"/>
      <c r="D2" s="380"/>
      <c r="E2" s="380"/>
      <c r="F2" s="380"/>
      <c r="G2" s="380"/>
    </row>
    <row r="3" spans="1:7" ht="15" customHeight="1">
      <c r="A3" s="282"/>
      <c r="B3" s="282"/>
      <c r="G3" s="283" t="s">
        <v>688</v>
      </c>
    </row>
    <row r="4" spans="1:7" s="284" customFormat="1" ht="19.5" customHeight="1">
      <c r="A4" s="370" t="s">
        <v>518</v>
      </c>
      <c r="B4" s="370" t="s">
        <v>816</v>
      </c>
      <c r="C4" s="372" t="s">
        <v>567</v>
      </c>
      <c r="D4" s="373"/>
      <c r="E4" s="374"/>
      <c r="F4" s="375" t="s">
        <v>1295</v>
      </c>
      <c r="G4" s="377" t="s">
        <v>817</v>
      </c>
    </row>
    <row r="5" spans="1:7" s="284" customFormat="1" ht="19.5" customHeight="1">
      <c r="A5" s="371"/>
      <c r="B5" s="371"/>
      <c r="C5" s="285" t="s">
        <v>603</v>
      </c>
      <c r="D5" s="285" t="s">
        <v>604</v>
      </c>
      <c r="E5" s="285" t="s">
        <v>818</v>
      </c>
      <c r="F5" s="376"/>
      <c r="G5" s="378"/>
    </row>
    <row r="6" spans="1:7" s="284" customFormat="1" ht="19.5" customHeight="1">
      <c r="A6" s="313" t="s">
        <v>90</v>
      </c>
      <c r="B6" s="312"/>
      <c r="C6" s="314">
        <f>SUM(C7,C17)</f>
        <v>162583.71</v>
      </c>
      <c r="D6" s="314">
        <f>SUM(D7,D17)</f>
        <v>161710.46</v>
      </c>
      <c r="E6" s="314">
        <f>SUM(E7,E17)</f>
        <v>161541.93</v>
      </c>
      <c r="F6" s="314">
        <f>SUM(F7,F17)</f>
        <v>1041.78</v>
      </c>
      <c r="G6" s="286">
        <f>D6/C6*100</f>
        <v>99.46</v>
      </c>
    </row>
    <row r="7" spans="1:7" s="293" customFormat="1" ht="21" customHeight="1">
      <c r="A7" s="287" t="s">
        <v>819</v>
      </c>
      <c r="B7" s="301"/>
      <c r="C7" s="289">
        <f>SUM(C8:C16)</f>
        <v>2062.3</v>
      </c>
      <c r="D7" s="289">
        <f>SUM(D8:D16)</f>
        <v>1321.05</v>
      </c>
      <c r="E7" s="289">
        <f>SUM(E8:E16)</f>
        <v>1152.52</v>
      </c>
      <c r="F7" s="292">
        <f aca="true" t="shared" si="0" ref="F7:F22">C7-E7</f>
        <v>909.78</v>
      </c>
      <c r="G7" s="286">
        <f>D7/C7*100</f>
        <v>64.06</v>
      </c>
    </row>
    <row r="8" spans="1:7" s="277" customFormat="1" ht="21" customHeight="1">
      <c r="A8" s="273" t="s">
        <v>820</v>
      </c>
      <c r="B8" s="274" t="s">
        <v>627</v>
      </c>
      <c r="C8" s="246">
        <v>20</v>
      </c>
      <c r="D8" s="246">
        <v>20</v>
      </c>
      <c r="E8" s="246">
        <v>20</v>
      </c>
      <c r="F8" s="275">
        <f t="shared" si="0"/>
        <v>0</v>
      </c>
      <c r="G8" s="276">
        <f aca="true" t="shared" si="1" ref="G8:G22">D8/C8*100</f>
        <v>100</v>
      </c>
    </row>
    <row r="9" spans="1:7" s="277" customFormat="1" ht="21" customHeight="1">
      <c r="A9" s="273" t="s">
        <v>821</v>
      </c>
      <c r="B9" s="274" t="s">
        <v>629</v>
      </c>
      <c r="C9" s="246">
        <v>186.6</v>
      </c>
      <c r="D9" s="246">
        <v>186.6</v>
      </c>
      <c r="E9" s="246">
        <v>186.6</v>
      </c>
      <c r="F9" s="275">
        <f t="shared" si="0"/>
        <v>0</v>
      </c>
      <c r="G9" s="276">
        <f t="shared" si="1"/>
        <v>100</v>
      </c>
    </row>
    <row r="10" spans="1:7" s="277" customFormat="1" ht="21" customHeight="1">
      <c r="A10" s="273" t="s">
        <v>822</v>
      </c>
      <c r="B10" s="274" t="s">
        <v>629</v>
      </c>
      <c r="C10" s="246">
        <v>61.6</v>
      </c>
      <c r="D10" s="246">
        <v>61.6</v>
      </c>
      <c r="E10" s="246">
        <v>61.6</v>
      </c>
      <c r="F10" s="275">
        <f t="shared" si="0"/>
        <v>0</v>
      </c>
      <c r="G10" s="276">
        <f t="shared" si="1"/>
        <v>100</v>
      </c>
    </row>
    <row r="11" spans="1:7" s="277" customFormat="1" ht="21" customHeight="1">
      <c r="A11" s="273" t="s">
        <v>823</v>
      </c>
      <c r="B11" s="274" t="s">
        <v>629</v>
      </c>
      <c r="C11" s="246">
        <v>177.2</v>
      </c>
      <c r="D11" s="246">
        <v>177.2</v>
      </c>
      <c r="E11" s="246">
        <v>177.2</v>
      </c>
      <c r="F11" s="275">
        <f t="shared" si="0"/>
        <v>0</v>
      </c>
      <c r="G11" s="276">
        <f t="shared" si="1"/>
        <v>100</v>
      </c>
    </row>
    <row r="12" spans="1:7" s="277" customFormat="1" ht="21" customHeight="1">
      <c r="A12" s="273" t="s">
        <v>1087</v>
      </c>
      <c r="B12" s="274" t="s">
        <v>629</v>
      </c>
      <c r="C12" s="246">
        <v>18</v>
      </c>
      <c r="D12" s="246"/>
      <c r="E12" s="246"/>
      <c r="F12" s="275">
        <f t="shared" si="0"/>
        <v>18</v>
      </c>
      <c r="G12" s="276">
        <f t="shared" si="1"/>
        <v>0</v>
      </c>
    </row>
    <row r="13" spans="1:7" s="277" customFormat="1" ht="21" customHeight="1">
      <c r="A13" s="273" t="s">
        <v>1085</v>
      </c>
      <c r="B13" s="274" t="s">
        <v>629</v>
      </c>
      <c r="C13" s="246">
        <v>449.9</v>
      </c>
      <c r="D13" s="246">
        <v>26.65</v>
      </c>
      <c r="E13" s="246">
        <v>26.65</v>
      </c>
      <c r="F13" s="275">
        <f t="shared" si="0"/>
        <v>423.25</v>
      </c>
      <c r="G13" s="276">
        <f t="shared" si="1"/>
        <v>5.92</v>
      </c>
    </row>
    <row r="14" spans="1:7" s="277" customFormat="1" ht="21" customHeight="1">
      <c r="A14" s="273" t="s">
        <v>1086</v>
      </c>
      <c r="B14" s="274" t="s">
        <v>629</v>
      </c>
      <c r="C14" s="246">
        <v>300</v>
      </c>
      <c r="D14" s="246"/>
      <c r="E14" s="246"/>
      <c r="F14" s="275">
        <f t="shared" si="0"/>
        <v>300</v>
      </c>
      <c r="G14" s="276">
        <f t="shared" si="1"/>
        <v>0</v>
      </c>
    </row>
    <row r="15" spans="1:7" s="277" customFormat="1" ht="21" customHeight="1">
      <c r="A15" s="273" t="s">
        <v>824</v>
      </c>
      <c r="B15" s="274" t="s">
        <v>630</v>
      </c>
      <c r="C15" s="246">
        <v>767</v>
      </c>
      <c r="D15" s="246">
        <v>767</v>
      </c>
      <c r="E15" s="246">
        <v>609.18</v>
      </c>
      <c r="F15" s="275">
        <f t="shared" si="0"/>
        <v>157.82</v>
      </c>
      <c r="G15" s="276">
        <f>D15/C15*100</f>
        <v>100</v>
      </c>
    </row>
    <row r="16" spans="1:7" s="277" customFormat="1" ht="21" customHeight="1">
      <c r="A16" s="273" t="s">
        <v>825</v>
      </c>
      <c r="B16" s="274" t="s">
        <v>630</v>
      </c>
      <c r="C16" s="246">
        <v>82</v>
      </c>
      <c r="D16" s="246">
        <v>82</v>
      </c>
      <c r="E16" s="246">
        <v>71.29</v>
      </c>
      <c r="F16" s="275">
        <f t="shared" si="0"/>
        <v>10.71</v>
      </c>
      <c r="G16" s="276">
        <f t="shared" si="1"/>
        <v>100</v>
      </c>
    </row>
    <row r="17" spans="1:7" ht="21" customHeight="1">
      <c r="A17" s="287" t="s">
        <v>1294</v>
      </c>
      <c r="B17" s="296"/>
      <c r="C17" s="297">
        <f>SUM(C18:C23)</f>
        <v>160521.41</v>
      </c>
      <c r="D17" s="297">
        <f>SUM(D18:D23)</f>
        <v>160389.41</v>
      </c>
      <c r="E17" s="297">
        <f>SUM(E18:E23)</f>
        <v>160389.41</v>
      </c>
      <c r="F17" s="292">
        <f t="shared" si="0"/>
        <v>132</v>
      </c>
      <c r="G17" s="276">
        <f t="shared" si="1"/>
        <v>99.92</v>
      </c>
    </row>
    <row r="18" spans="1:7" ht="21" customHeight="1">
      <c r="A18" s="294" t="s">
        <v>826</v>
      </c>
      <c r="B18" s="302" t="s">
        <v>827</v>
      </c>
      <c r="C18" s="239">
        <v>35073.68</v>
      </c>
      <c r="D18" s="239">
        <v>35073.68</v>
      </c>
      <c r="E18" s="239">
        <v>35073.68</v>
      </c>
      <c r="F18" s="275">
        <f t="shared" si="0"/>
        <v>0</v>
      </c>
      <c r="G18" s="276">
        <f t="shared" si="1"/>
        <v>100</v>
      </c>
    </row>
    <row r="19" spans="1:7" ht="21" customHeight="1">
      <c r="A19" s="294" t="s">
        <v>828</v>
      </c>
      <c r="B19" s="302" t="s">
        <v>827</v>
      </c>
      <c r="C19" s="239">
        <v>40000</v>
      </c>
      <c r="D19" s="239">
        <v>40000</v>
      </c>
      <c r="E19" s="239">
        <v>40000</v>
      </c>
      <c r="F19" s="275">
        <f t="shared" si="0"/>
        <v>0</v>
      </c>
      <c r="G19" s="276">
        <f t="shared" si="1"/>
        <v>100</v>
      </c>
    </row>
    <row r="20" spans="1:7" ht="21" customHeight="1">
      <c r="A20" s="294" t="s">
        <v>828</v>
      </c>
      <c r="B20" s="302" t="s">
        <v>827</v>
      </c>
      <c r="C20" s="239">
        <v>85115.73</v>
      </c>
      <c r="D20" s="239">
        <v>85115.73</v>
      </c>
      <c r="E20" s="239">
        <v>85115.73</v>
      </c>
      <c r="F20" s="275">
        <f t="shared" si="0"/>
        <v>0</v>
      </c>
      <c r="G20" s="276">
        <f t="shared" si="1"/>
        <v>100</v>
      </c>
    </row>
    <row r="21" spans="1:7" ht="29.25">
      <c r="A21" s="294" t="s">
        <v>829</v>
      </c>
      <c r="B21" s="302" t="s">
        <v>830</v>
      </c>
      <c r="C21" s="239">
        <v>132</v>
      </c>
      <c r="D21" s="239">
        <v>0</v>
      </c>
      <c r="E21" s="239">
        <v>0</v>
      </c>
      <c r="F21" s="275">
        <f t="shared" si="0"/>
        <v>132</v>
      </c>
      <c r="G21" s="276">
        <f t="shared" si="1"/>
        <v>0</v>
      </c>
    </row>
    <row r="22" spans="1:7" ht="29.25">
      <c r="A22" s="294" t="s">
        <v>831</v>
      </c>
      <c r="B22" s="302" t="s">
        <v>830</v>
      </c>
      <c r="C22" s="239">
        <v>200</v>
      </c>
      <c r="D22" s="239">
        <v>200</v>
      </c>
      <c r="E22" s="239">
        <v>200</v>
      </c>
      <c r="F22" s="275">
        <f t="shared" si="0"/>
        <v>0</v>
      </c>
      <c r="G22" s="276">
        <f t="shared" si="1"/>
        <v>100</v>
      </c>
    </row>
  </sheetData>
  <sheetProtection/>
  <mergeCells count="6">
    <mergeCell ref="A2:G2"/>
    <mergeCell ref="A4:A5"/>
    <mergeCell ref="B4:B5"/>
    <mergeCell ref="C4:E4"/>
    <mergeCell ref="F4:F5"/>
    <mergeCell ref="G4:G5"/>
  </mergeCells>
  <printOptions horizontalCentered="1" verticalCentered="1"/>
  <pageMargins left="0.31496062992125984" right="0.2362204724409449" top="0.31496062992125984" bottom="0.31496062992125984" header="0.1968503937007874" footer="0.1968503937007874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PageLayoutView="0" workbookViewId="0" topLeftCell="A8">
      <selection activeCell="A9" sqref="A9:F9"/>
    </sheetView>
  </sheetViews>
  <sheetFormatPr defaultColWidth="9.00390625" defaultRowHeight="14.25"/>
  <cols>
    <col min="1" max="6" width="18.625" style="9" customWidth="1"/>
    <col min="7" max="16384" width="9.00390625" style="9" customWidth="1"/>
  </cols>
  <sheetData>
    <row r="1" spans="1:5" ht="24.75" customHeight="1" hidden="1">
      <c r="A1" s="44" t="s">
        <v>736</v>
      </c>
      <c r="B1" s="44">
        <f>SUM(B2:B4)</f>
        <v>1326.01</v>
      </c>
      <c r="C1" s="44"/>
      <c r="D1" s="44">
        <f>SUM(D2:D4)</f>
        <v>206.18</v>
      </c>
      <c r="E1" s="44">
        <f>SUM(E2:E4)</f>
        <v>1326.01</v>
      </c>
    </row>
    <row r="2" spans="1:5" ht="24.75" customHeight="1" hidden="1">
      <c r="A2" s="45" t="s">
        <v>737</v>
      </c>
      <c r="B2" s="22">
        <f>SUM(E2:E2)</f>
        <v>768.3</v>
      </c>
      <c r="C2" s="22"/>
      <c r="D2" s="22">
        <v>102.11</v>
      </c>
      <c r="E2" s="22">
        <v>768.3</v>
      </c>
    </row>
    <row r="3" spans="1:5" ht="24.75" customHeight="1" hidden="1">
      <c r="A3" s="45" t="s">
        <v>521</v>
      </c>
      <c r="B3" s="22">
        <f>SUM(E3:E3)</f>
        <v>288.51</v>
      </c>
      <c r="C3" s="22"/>
      <c r="D3" s="22">
        <v>50.57</v>
      </c>
      <c r="E3" s="22">
        <v>288.51</v>
      </c>
    </row>
    <row r="4" spans="1:5" ht="24.75" customHeight="1" hidden="1">
      <c r="A4" s="45" t="s">
        <v>717</v>
      </c>
      <c r="B4" s="22">
        <f>SUM(E4:E4)</f>
        <v>269.2</v>
      </c>
      <c r="C4" s="22"/>
      <c r="D4" s="22">
        <v>53.5</v>
      </c>
      <c r="E4" s="22">
        <v>269.2</v>
      </c>
    </row>
    <row r="5" spans="1:5" ht="24.75" customHeight="1" hidden="1">
      <c r="A5" s="46" t="s">
        <v>522</v>
      </c>
      <c r="B5" s="47">
        <f>(((B4/B2)^(1/2)-1))*100</f>
        <v>-40.81</v>
      </c>
      <c r="C5" s="47"/>
      <c r="D5" s="47">
        <f>(((D4/D2)^(1/2)-1))*100</f>
        <v>-27.62</v>
      </c>
      <c r="E5" s="47">
        <f>(((E4/E2)^(1/2)-1))*100</f>
        <v>-40.81</v>
      </c>
    </row>
    <row r="6" spans="1:5" ht="24.75" customHeight="1" hidden="1">
      <c r="A6" s="48" t="s">
        <v>523</v>
      </c>
      <c r="B6" s="47">
        <f aca="true" t="shared" si="0" ref="B6:E7">B3/B2*100-100</f>
        <v>-62.45</v>
      </c>
      <c r="C6" s="47"/>
      <c r="D6" s="47">
        <f t="shared" si="0"/>
        <v>-50.47</v>
      </c>
      <c r="E6" s="47">
        <f t="shared" si="0"/>
        <v>-62.45</v>
      </c>
    </row>
    <row r="7" spans="1:5" ht="24.75" customHeight="1" hidden="1">
      <c r="A7" s="48" t="s">
        <v>524</v>
      </c>
      <c r="B7" s="47">
        <f t="shared" si="0"/>
        <v>-6.69</v>
      </c>
      <c r="C7" s="47"/>
      <c r="D7" s="47">
        <f t="shared" si="0"/>
        <v>5.79</v>
      </c>
      <c r="E7" s="47">
        <f t="shared" si="0"/>
        <v>-6.69</v>
      </c>
    </row>
    <row r="8" spans="1:5" ht="24.75" customHeight="1">
      <c r="A8" s="1" t="s">
        <v>89</v>
      </c>
      <c r="B8" s="49"/>
      <c r="C8" s="49"/>
      <c r="D8" s="49"/>
      <c r="E8" s="49"/>
    </row>
    <row r="9" spans="1:6" ht="30" customHeight="1">
      <c r="A9" s="389" t="s">
        <v>1281</v>
      </c>
      <c r="B9" s="390"/>
      <c r="C9" s="390"/>
      <c r="D9" s="390"/>
      <c r="E9" s="390"/>
      <c r="F9" s="390"/>
    </row>
    <row r="10" spans="1:6" ht="26.25" customHeight="1">
      <c r="A10" s="50"/>
      <c r="B10" s="50"/>
      <c r="C10" s="50"/>
      <c r="D10" s="50"/>
      <c r="E10" s="50"/>
      <c r="F10" s="20" t="s">
        <v>716</v>
      </c>
    </row>
    <row r="11" spans="1:6" s="111" customFormat="1" ht="34.5" customHeight="1">
      <c r="A11" s="391" t="s">
        <v>691</v>
      </c>
      <c r="B11" s="392" t="s">
        <v>83</v>
      </c>
      <c r="C11" s="391" t="s">
        <v>84</v>
      </c>
      <c r="D11" s="391"/>
      <c r="E11" s="391"/>
      <c r="F11" s="392" t="s">
        <v>85</v>
      </c>
    </row>
    <row r="12" spans="1:6" s="111" customFormat="1" ht="34.5" customHeight="1">
      <c r="A12" s="391"/>
      <c r="B12" s="393"/>
      <c r="C12" s="263" t="s">
        <v>86</v>
      </c>
      <c r="D12" s="263" t="s">
        <v>87</v>
      </c>
      <c r="E12" s="263" t="s">
        <v>88</v>
      </c>
      <c r="F12" s="393"/>
    </row>
    <row r="13" spans="1:6" s="111" customFormat="1" ht="34.5" customHeight="1">
      <c r="A13" s="264">
        <f>SUM(B13:C13,F13)</f>
        <v>1443</v>
      </c>
      <c r="B13" s="264">
        <v>56</v>
      </c>
      <c r="C13" s="264">
        <f>SUM(D13:E13)</f>
        <v>1356</v>
      </c>
      <c r="D13" s="264">
        <v>617</v>
      </c>
      <c r="E13" s="264">
        <v>739</v>
      </c>
      <c r="F13" s="264">
        <v>31</v>
      </c>
    </row>
  </sheetData>
  <sheetProtection/>
  <mergeCells count="5">
    <mergeCell ref="A9:F9"/>
    <mergeCell ref="A11:A12"/>
    <mergeCell ref="B11:B12"/>
    <mergeCell ref="C11:E11"/>
    <mergeCell ref="F11:F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3" sqref="C13"/>
    </sheetView>
  </sheetViews>
  <sheetFormatPr defaultColWidth="9.00390625" defaultRowHeight="14.25"/>
  <cols>
    <col min="1" max="1" width="34.125" style="9" customWidth="1"/>
    <col min="2" max="2" width="17.875" style="9" customWidth="1"/>
    <col min="3" max="3" width="18.75390625" style="9" customWidth="1"/>
    <col min="4" max="4" width="25.375" style="9" customWidth="1"/>
    <col min="5" max="16384" width="9.00390625" style="9" customWidth="1"/>
  </cols>
  <sheetData>
    <row r="1" ht="12.75">
      <c r="A1" s="260" t="s">
        <v>813</v>
      </c>
    </row>
    <row r="2" spans="1:4" ht="20.25">
      <c r="A2" s="394" t="s">
        <v>801</v>
      </c>
      <c r="B2" s="394"/>
      <c r="C2" s="394"/>
      <c r="D2" s="394"/>
    </row>
    <row r="3" spans="1:4" ht="12.75">
      <c r="A3" s="10"/>
      <c r="B3" s="11"/>
      <c r="C3" s="11"/>
      <c r="D3" s="12" t="s">
        <v>687</v>
      </c>
    </row>
    <row r="4" spans="1:4" s="111" customFormat="1" ht="22.5" customHeight="1">
      <c r="A4" s="395" t="s">
        <v>40</v>
      </c>
      <c r="B4" s="396" t="s">
        <v>82</v>
      </c>
      <c r="C4" s="396"/>
      <c r="D4" s="396"/>
    </row>
    <row r="5" spans="1:4" s="111" customFormat="1" ht="19.5" customHeight="1">
      <c r="A5" s="395"/>
      <c r="B5" s="262" t="s">
        <v>90</v>
      </c>
      <c r="C5" s="262" t="s">
        <v>91</v>
      </c>
      <c r="D5" s="262" t="s">
        <v>92</v>
      </c>
    </row>
    <row r="6" spans="1:4" s="111" customFormat="1" ht="19.5" customHeight="1">
      <c r="A6" s="141" t="s">
        <v>802</v>
      </c>
      <c r="B6" s="261">
        <f>C6+D6</f>
        <v>77.85</v>
      </c>
      <c r="C6" s="261">
        <f>C7+C8</f>
        <v>73.11</v>
      </c>
      <c r="D6" s="261">
        <f>D7+D8</f>
        <v>4.74</v>
      </c>
    </row>
    <row r="7" spans="1:4" s="111" customFormat="1" ht="19.5" customHeight="1">
      <c r="A7" s="112" t="s">
        <v>93</v>
      </c>
      <c r="B7" s="261">
        <f>C7+D7</f>
        <v>33.21</v>
      </c>
      <c r="C7" s="261">
        <f>2.03+31.177</f>
        <v>33.21</v>
      </c>
      <c r="D7" s="261"/>
    </row>
    <row r="8" spans="1:4" s="111" customFormat="1" ht="19.5" customHeight="1">
      <c r="A8" s="112" t="s">
        <v>94</v>
      </c>
      <c r="B8" s="261">
        <f>C8+D8</f>
        <v>44.64</v>
      </c>
      <c r="C8" s="261">
        <f>39.9</f>
        <v>39.9</v>
      </c>
      <c r="D8" s="261">
        <f>4.7412</f>
        <v>4.74</v>
      </c>
    </row>
    <row r="9" spans="1:4" s="111" customFormat="1" ht="19.5" customHeight="1">
      <c r="A9" s="141" t="s">
        <v>803</v>
      </c>
      <c r="B9" s="261">
        <f>C9+D9</f>
        <v>103.91</v>
      </c>
      <c r="C9" s="261">
        <f>C10+C11</f>
        <v>103.91</v>
      </c>
      <c r="D9" s="261">
        <v>0</v>
      </c>
    </row>
    <row r="10" spans="1:4" s="111" customFormat="1" ht="19.5" customHeight="1">
      <c r="A10" s="112" t="s">
        <v>93</v>
      </c>
      <c r="B10" s="261">
        <f aca="true" t="shared" si="0" ref="B10:B20">C10+D10</f>
        <v>39.21</v>
      </c>
      <c r="C10" s="261">
        <v>39.21</v>
      </c>
      <c r="D10" s="261"/>
    </row>
    <row r="11" spans="1:4" s="111" customFormat="1" ht="19.5" customHeight="1">
      <c r="A11" s="112" t="s">
        <v>94</v>
      </c>
      <c r="B11" s="261">
        <f t="shared" si="0"/>
        <v>64.7</v>
      </c>
      <c r="C11" s="261">
        <f>64.7</f>
        <v>64.7</v>
      </c>
      <c r="D11" s="261"/>
    </row>
    <row r="12" spans="1:4" s="111" customFormat="1" ht="19.5" customHeight="1">
      <c r="A12" s="141" t="s">
        <v>804</v>
      </c>
      <c r="B12" s="261">
        <f t="shared" si="0"/>
        <v>30.68</v>
      </c>
      <c r="C12" s="261">
        <f>C13+C14</f>
        <v>30.68</v>
      </c>
      <c r="D12" s="261">
        <v>0</v>
      </c>
    </row>
    <row r="13" spans="1:4" s="111" customFormat="1" ht="19.5" customHeight="1">
      <c r="A13" s="112" t="s">
        <v>93</v>
      </c>
      <c r="B13" s="261">
        <f t="shared" si="0"/>
        <v>6</v>
      </c>
      <c r="C13" s="261">
        <v>6</v>
      </c>
      <c r="D13" s="261"/>
    </row>
    <row r="14" spans="1:4" s="111" customFormat="1" ht="19.5" customHeight="1">
      <c r="A14" s="112" t="s">
        <v>94</v>
      </c>
      <c r="B14" s="261">
        <f t="shared" si="0"/>
        <v>24.68</v>
      </c>
      <c r="C14" s="261">
        <v>24.68</v>
      </c>
      <c r="D14" s="261"/>
    </row>
    <row r="15" spans="1:4" s="111" customFormat="1" ht="19.5" customHeight="1">
      <c r="A15" s="141" t="s">
        <v>805</v>
      </c>
      <c r="B15" s="261">
        <f t="shared" si="0"/>
        <v>4.74</v>
      </c>
      <c r="C15" s="261">
        <f>C16+C17</f>
        <v>0</v>
      </c>
      <c r="D15" s="261">
        <f>D16+D17</f>
        <v>4.74</v>
      </c>
    </row>
    <row r="16" spans="1:4" s="111" customFormat="1" ht="19.5" customHeight="1">
      <c r="A16" s="112" t="s">
        <v>93</v>
      </c>
      <c r="B16" s="261">
        <f t="shared" si="0"/>
        <v>0</v>
      </c>
      <c r="C16" s="261">
        <v>0</v>
      </c>
      <c r="D16" s="261"/>
    </row>
    <row r="17" spans="1:8" s="111" customFormat="1" ht="19.5" customHeight="1">
      <c r="A17" s="112" t="s">
        <v>94</v>
      </c>
      <c r="B17" s="261">
        <f t="shared" si="0"/>
        <v>4.74</v>
      </c>
      <c r="C17" s="261">
        <v>0</v>
      </c>
      <c r="D17" s="261">
        <f>0.0612+4.68</f>
        <v>4.74</v>
      </c>
      <c r="H17" s="311"/>
    </row>
    <row r="18" spans="1:4" s="111" customFormat="1" ht="19.5" customHeight="1">
      <c r="A18" s="141" t="s">
        <v>806</v>
      </c>
      <c r="B18" s="261">
        <f t="shared" si="0"/>
        <v>103.79</v>
      </c>
      <c r="C18" s="261">
        <f>C19+C20</f>
        <v>103.79</v>
      </c>
      <c r="D18" s="261">
        <f>D19+D20</f>
        <v>0</v>
      </c>
    </row>
    <row r="19" spans="1:4" s="111" customFormat="1" ht="19.5" customHeight="1">
      <c r="A19" s="112" t="s">
        <v>93</v>
      </c>
      <c r="B19" s="261">
        <f t="shared" si="0"/>
        <v>39.21</v>
      </c>
      <c r="C19" s="261">
        <v>39.21</v>
      </c>
      <c r="D19" s="261"/>
    </row>
    <row r="20" spans="1:4" s="111" customFormat="1" ht="19.5" customHeight="1">
      <c r="A20" s="112" t="s">
        <v>94</v>
      </c>
      <c r="B20" s="261">
        <f t="shared" si="0"/>
        <v>64.58</v>
      </c>
      <c r="C20" s="261">
        <v>64.58</v>
      </c>
      <c r="D20" s="261"/>
    </row>
    <row r="21" s="111" customFormat="1" ht="15.75"/>
    <row r="27" spans="1:4" ht="12.75">
      <c r="A27" s="13"/>
      <c r="B27" s="13"/>
      <c r="C27" s="13"/>
      <c r="D27" s="13"/>
    </row>
    <row r="28" spans="1:4" ht="12.75">
      <c r="A28" s="13"/>
      <c r="B28" s="14"/>
      <c r="C28" s="14"/>
      <c r="D28" s="14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6"/>
    </row>
    <row r="33" spans="1:4" ht="12.75">
      <c r="A33" s="15"/>
      <c r="B33" s="15"/>
      <c r="C33" s="15"/>
      <c r="D33" s="16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</sheetData>
  <sheetProtection/>
  <mergeCells count="3">
    <mergeCell ref="A2:D2"/>
    <mergeCell ref="A4:A5"/>
    <mergeCell ref="B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6:K17"/>
  <sheetViews>
    <sheetView tabSelected="1" zoomScalePageLayoutView="0" workbookViewId="0" topLeftCell="A1">
      <selection activeCell="L39" sqref="L39"/>
    </sheetView>
  </sheetViews>
  <sheetFormatPr defaultColWidth="9.00390625" defaultRowHeight="14.25"/>
  <cols>
    <col min="1" max="10" width="9.00390625" style="9" customWidth="1"/>
    <col min="11" max="11" width="18.875" style="9" customWidth="1"/>
    <col min="12" max="16384" width="9.00390625" style="9" customWidth="1"/>
  </cols>
  <sheetData>
    <row r="6" spans="1:11" ht="35.25">
      <c r="A6" s="357" t="s">
        <v>793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15" ht="20.25">
      <c r="D15" s="38" t="s">
        <v>73</v>
      </c>
    </row>
    <row r="16" ht="20.25">
      <c r="D16" s="39"/>
    </row>
    <row r="17" ht="20.25">
      <c r="D17" s="38" t="s">
        <v>695</v>
      </c>
    </row>
  </sheetData>
  <sheetProtection/>
  <mergeCells count="1">
    <mergeCell ref="A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6:K17"/>
  <sheetViews>
    <sheetView zoomScalePageLayoutView="0" workbookViewId="0" topLeftCell="A1">
      <selection activeCell="L29" sqref="L29"/>
    </sheetView>
  </sheetViews>
  <sheetFormatPr defaultColWidth="9.00390625" defaultRowHeight="14.25"/>
  <cols>
    <col min="1" max="16384" width="9.00390625" style="9" customWidth="1"/>
  </cols>
  <sheetData>
    <row r="6" spans="1:11" ht="39.75" customHeight="1">
      <c r="A6" s="356" t="s">
        <v>72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ht="39.7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  <c r="K7" s="356"/>
    </row>
    <row r="15" ht="20.25">
      <c r="D15" s="38" t="s">
        <v>73</v>
      </c>
    </row>
    <row r="16" ht="20.25">
      <c r="D16" s="39"/>
    </row>
    <row r="17" ht="20.25">
      <c r="D17" s="38" t="s">
        <v>694</v>
      </c>
    </row>
  </sheetData>
  <sheetProtection/>
  <mergeCells count="2">
    <mergeCell ref="A6:K6"/>
    <mergeCell ref="A7:K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selection activeCell="B1" sqref="B1:G16384"/>
    </sheetView>
  </sheetViews>
  <sheetFormatPr defaultColWidth="9.00390625" defaultRowHeight="14.25"/>
  <cols>
    <col min="1" max="1" width="47.625" style="9" customWidth="1"/>
    <col min="2" max="7" width="13.625" style="9" customWidth="1"/>
    <col min="8" max="16384" width="9.00390625" style="9" customWidth="1"/>
  </cols>
  <sheetData>
    <row r="1" ht="12.75">
      <c r="A1" s="1" t="s">
        <v>95</v>
      </c>
    </row>
    <row r="2" spans="1:7" ht="20.25">
      <c r="A2" s="397" t="s">
        <v>794</v>
      </c>
      <c r="B2" s="397"/>
      <c r="C2" s="397"/>
      <c r="D2" s="397"/>
      <c r="E2" s="397"/>
      <c r="F2" s="397"/>
      <c r="G2" s="397"/>
    </row>
    <row r="3" spans="1:7" ht="15" customHeight="1">
      <c r="A3" s="40"/>
      <c r="B3" s="41"/>
      <c r="C3" s="41"/>
      <c r="G3" s="42" t="s">
        <v>696</v>
      </c>
    </row>
    <row r="4" spans="1:7" s="119" customFormat="1" ht="42" customHeight="1">
      <c r="A4" s="125" t="s">
        <v>641</v>
      </c>
      <c r="B4" s="125" t="s">
        <v>605</v>
      </c>
      <c r="C4" s="125" t="s">
        <v>642</v>
      </c>
      <c r="D4" s="125" t="s">
        <v>543</v>
      </c>
      <c r="E4" s="125" t="s">
        <v>643</v>
      </c>
      <c r="F4" s="125" t="s">
        <v>338</v>
      </c>
      <c r="G4" s="57" t="s">
        <v>795</v>
      </c>
    </row>
    <row r="5" spans="1:7" s="111" customFormat="1" ht="19.5" customHeight="1">
      <c r="A5" s="113" t="s">
        <v>697</v>
      </c>
      <c r="B5" s="114"/>
      <c r="C5" s="114"/>
      <c r="D5" s="115"/>
      <c r="E5" s="118"/>
      <c r="F5" s="118"/>
      <c r="G5" s="118"/>
    </row>
    <row r="6" spans="1:7" s="111" customFormat="1" ht="19.5" customHeight="1">
      <c r="A6" s="113" t="s">
        <v>698</v>
      </c>
      <c r="B6" s="114"/>
      <c r="C6" s="114"/>
      <c r="D6" s="115"/>
      <c r="E6" s="118"/>
      <c r="F6" s="118"/>
      <c r="G6" s="118"/>
    </row>
    <row r="7" spans="1:7" s="111" customFormat="1" ht="19.5" customHeight="1">
      <c r="A7" s="116" t="s">
        <v>699</v>
      </c>
      <c r="B7" s="114"/>
      <c r="C7" s="114"/>
      <c r="D7" s="115"/>
      <c r="E7" s="118"/>
      <c r="F7" s="118"/>
      <c r="G7" s="118"/>
    </row>
    <row r="8" spans="1:7" s="111" customFormat="1" ht="19.5" customHeight="1">
      <c r="A8" s="116" t="s">
        <v>700</v>
      </c>
      <c r="B8" s="114"/>
      <c r="C8" s="114"/>
      <c r="D8" s="115"/>
      <c r="E8" s="118"/>
      <c r="F8" s="118"/>
      <c r="G8" s="118"/>
    </row>
    <row r="9" spans="1:7" s="111" customFormat="1" ht="19.5" customHeight="1">
      <c r="A9" s="116" t="s">
        <v>701</v>
      </c>
      <c r="B9" s="114"/>
      <c r="C9" s="114"/>
      <c r="D9" s="115"/>
      <c r="E9" s="118"/>
      <c r="F9" s="118"/>
      <c r="G9" s="118"/>
    </row>
    <row r="10" spans="1:7" s="111" customFormat="1" ht="19.5" customHeight="1">
      <c r="A10" s="116" t="s">
        <v>702</v>
      </c>
      <c r="B10" s="114"/>
      <c r="C10" s="114"/>
      <c r="D10" s="115"/>
      <c r="E10" s="118"/>
      <c r="F10" s="118"/>
      <c r="G10" s="118"/>
    </row>
    <row r="11" spans="1:7" s="111" customFormat="1" ht="19.5" customHeight="1">
      <c r="A11" s="116" t="s">
        <v>703</v>
      </c>
      <c r="B11" s="114"/>
      <c r="C11" s="114"/>
      <c r="D11" s="115"/>
      <c r="E11" s="118"/>
      <c r="F11" s="118"/>
      <c r="G11" s="118"/>
    </row>
    <row r="12" spans="1:7" s="111" customFormat="1" ht="19.5" customHeight="1">
      <c r="A12" s="116" t="s">
        <v>704</v>
      </c>
      <c r="B12" s="114"/>
      <c r="C12" s="114"/>
      <c r="D12" s="115"/>
      <c r="E12" s="118"/>
      <c r="F12" s="118"/>
      <c r="G12" s="118"/>
    </row>
    <row r="13" spans="1:7" s="111" customFormat="1" ht="19.5" customHeight="1">
      <c r="A13" s="116" t="s">
        <v>705</v>
      </c>
      <c r="B13" s="114"/>
      <c r="C13" s="114"/>
      <c r="D13" s="115"/>
      <c r="E13" s="118"/>
      <c r="F13" s="118"/>
      <c r="G13" s="118"/>
    </row>
    <row r="14" spans="1:7" s="111" customFormat="1" ht="19.5" customHeight="1">
      <c r="A14" s="116" t="s">
        <v>706</v>
      </c>
      <c r="B14" s="114"/>
      <c r="C14" s="114"/>
      <c r="D14" s="115"/>
      <c r="E14" s="118"/>
      <c r="F14" s="118"/>
      <c r="G14" s="118"/>
    </row>
    <row r="15" spans="1:7" s="111" customFormat="1" ht="19.5" customHeight="1">
      <c r="A15" s="116" t="s">
        <v>707</v>
      </c>
      <c r="B15" s="114"/>
      <c r="C15" s="114"/>
      <c r="D15" s="115"/>
      <c r="E15" s="118"/>
      <c r="F15" s="118"/>
      <c r="G15" s="118"/>
    </row>
    <row r="16" spans="1:7" s="111" customFormat="1" ht="19.5" customHeight="1">
      <c r="A16" s="116" t="s">
        <v>708</v>
      </c>
      <c r="B16" s="114"/>
      <c r="C16" s="114"/>
      <c r="D16" s="115"/>
      <c r="E16" s="118"/>
      <c r="F16" s="118"/>
      <c r="G16" s="118"/>
    </row>
    <row r="17" spans="1:7" s="111" customFormat="1" ht="19.5" customHeight="1">
      <c r="A17" s="116" t="s">
        <v>709</v>
      </c>
      <c r="B17" s="114"/>
      <c r="C17" s="114"/>
      <c r="D17" s="115"/>
      <c r="E17" s="118"/>
      <c r="F17" s="118"/>
      <c r="G17" s="118"/>
    </row>
    <row r="18" spans="1:7" s="111" customFormat="1" ht="19.5" customHeight="1">
      <c r="A18" s="113" t="s">
        <v>710</v>
      </c>
      <c r="B18" s="114"/>
      <c r="C18" s="114"/>
      <c r="D18" s="115"/>
      <c r="E18" s="118"/>
      <c r="F18" s="118"/>
      <c r="G18" s="118"/>
    </row>
    <row r="19" spans="1:7" s="111" customFormat="1" ht="19.5" customHeight="1">
      <c r="A19" s="117" t="s">
        <v>711</v>
      </c>
      <c r="B19" s="118"/>
      <c r="C19" s="118"/>
      <c r="D19" s="118"/>
      <c r="E19" s="118"/>
      <c r="F19" s="118"/>
      <c r="G19" s="118"/>
    </row>
    <row r="20" spans="1:7" s="111" customFormat="1" ht="19.5" customHeight="1">
      <c r="A20" s="117" t="s">
        <v>712</v>
      </c>
      <c r="B20" s="118"/>
      <c r="C20" s="118"/>
      <c r="D20" s="118"/>
      <c r="E20" s="118"/>
      <c r="F20" s="118"/>
      <c r="G20" s="118"/>
    </row>
    <row r="21" spans="1:7" s="111" customFormat="1" ht="19.5" customHeight="1">
      <c r="A21" s="117" t="s">
        <v>713</v>
      </c>
      <c r="B21" s="118"/>
      <c r="C21" s="118"/>
      <c r="D21" s="118"/>
      <c r="E21" s="118"/>
      <c r="F21" s="118"/>
      <c r="G21" s="118"/>
    </row>
    <row r="22" spans="1:7" s="111" customFormat="1" ht="19.5" customHeight="1">
      <c r="A22" s="113" t="s">
        <v>714</v>
      </c>
      <c r="B22" s="118"/>
      <c r="C22" s="118"/>
      <c r="D22" s="118"/>
      <c r="E22" s="118"/>
      <c r="F22" s="118"/>
      <c r="G22" s="118"/>
    </row>
    <row r="23" spans="1:7" s="111" customFormat="1" ht="19.5" customHeight="1">
      <c r="A23" s="117" t="s">
        <v>715</v>
      </c>
      <c r="B23" s="118"/>
      <c r="C23" s="118"/>
      <c r="D23" s="118"/>
      <c r="E23" s="118"/>
      <c r="F23" s="118"/>
      <c r="G23" s="118"/>
    </row>
    <row r="24" ht="24.75" customHeight="1"/>
  </sheetData>
  <sheetProtection/>
  <mergeCells count="1">
    <mergeCell ref="A2:G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6"/>
  <sheetViews>
    <sheetView zoomScalePageLayoutView="0" workbookViewId="0" topLeftCell="A1">
      <selection activeCell="B1" sqref="B1:G16384"/>
    </sheetView>
  </sheetViews>
  <sheetFormatPr defaultColWidth="9.00390625" defaultRowHeight="14.25"/>
  <cols>
    <col min="1" max="1" width="34.875" style="9" customWidth="1"/>
    <col min="2" max="7" width="13.625" style="9" customWidth="1"/>
    <col min="8" max="16384" width="9.00390625" style="9" customWidth="1"/>
  </cols>
  <sheetData>
    <row r="1" ht="12.75">
      <c r="A1" s="1" t="s">
        <v>96</v>
      </c>
    </row>
    <row r="2" spans="1:7" ht="20.25">
      <c r="A2" s="397" t="s">
        <v>796</v>
      </c>
      <c r="B2" s="397"/>
      <c r="C2" s="397"/>
      <c r="D2" s="397"/>
      <c r="E2" s="397"/>
      <c r="F2" s="397"/>
      <c r="G2" s="397"/>
    </row>
    <row r="3" spans="1:7" ht="15" customHeight="1">
      <c r="A3" s="40"/>
      <c r="B3" s="41"/>
      <c r="C3" s="41"/>
      <c r="G3" s="43" t="s">
        <v>716</v>
      </c>
    </row>
    <row r="4" spans="1:7" s="120" customFormat="1" ht="28.5">
      <c r="A4" s="125" t="s">
        <v>641</v>
      </c>
      <c r="B4" s="125" t="s">
        <v>605</v>
      </c>
      <c r="C4" s="125" t="s">
        <v>642</v>
      </c>
      <c r="D4" s="125" t="s">
        <v>543</v>
      </c>
      <c r="E4" s="125" t="s">
        <v>643</v>
      </c>
      <c r="F4" s="125" t="s">
        <v>338</v>
      </c>
      <c r="G4" s="57" t="s">
        <v>795</v>
      </c>
    </row>
    <row r="5" spans="1:7" s="120" customFormat="1" ht="19.5" customHeight="1">
      <c r="A5" s="121" t="s">
        <v>718</v>
      </c>
      <c r="B5" s="122"/>
      <c r="C5" s="122"/>
      <c r="D5" s="123"/>
      <c r="E5" s="126"/>
      <c r="F5" s="126"/>
      <c r="G5" s="126"/>
    </row>
    <row r="6" spans="1:7" s="120" customFormat="1" ht="19.5" customHeight="1">
      <c r="A6" s="121" t="s">
        <v>719</v>
      </c>
      <c r="B6" s="122"/>
      <c r="C6" s="122"/>
      <c r="D6" s="123"/>
      <c r="E6" s="126"/>
      <c r="F6" s="126"/>
      <c r="G6" s="126"/>
    </row>
    <row r="7" spans="1:7" s="120" customFormat="1" ht="19.5" customHeight="1">
      <c r="A7" s="124" t="s">
        <v>720</v>
      </c>
      <c r="B7" s="122"/>
      <c r="C7" s="122"/>
      <c r="D7" s="123"/>
      <c r="E7" s="126"/>
      <c r="F7" s="126"/>
      <c r="G7" s="126"/>
    </row>
    <row r="8" spans="1:7" s="120" customFormat="1" ht="19.5" customHeight="1">
      <c r="A8" s="124" t="s">
        <v>721</v>
      </c>
      <c r="B8" s="122"/>
      <c r="C8" s="122"/>
      <c r="D8" s="123"/>
      <c r="E8" s="126"/>
      <c r="F8" s="126"/>
      <c r="G8" s="126"/>
    </row>
    <row r="9" spans="1:7" s="120" customFormat="1" ht="19.5" customHeight="1">
      <c r="A9" s="121" t="s">
        <v>722</v>
      </c>
      <c r="B9" s="122"/>
      <c r="C9" s="122"/>
      <c r="D9" s="123"/>
      <c r="E9" s="126"/>
      <c r="F9" s="126"/>
      <c r="G9" s="126"/>
    </row>
    <row r="10" spans="1:7" s="120" customFormat="1" ht="19.5" customHeight="1">
      <c r="A10" s="124" t="s">
        <v>720</v>
      </c>
      <c r="B10" s="122"/>
      <c r="C10" s="122"/>
      <c r="D10" s="123"/>
      <c r="E10" s="126"/>
      <c r="F10" s="126"/>
      <c r="G10" s="126"/>
    </row>
    <row r="11" spans="1:7" s="120" customFormat="1" ht="19.5" customHeight="1">
      <c r="A11" s="121" t="s">
        <v>723</v>
      </c>
      <c r="B11" s="122"/>
      <c r="C11" s="122"/>
      <c r="D11" s="123"/>
      <c r="E11" s="126"/>
      <c r="F11" s="126"/>
      <c r="G11" s="126"/>
    </row>
    <row r="12" spans="1:7" s="120" customFormat="1" ht="19.5" customHeight="1">
      <c r="A12" s="124" t="s">
        <v>724</v>
      </c>
      <c r="B12" s="122"/>
      <c r="C12" s="122"/>
      <c r="D12" s="123"/>
      <c r="E12" s="126"/>
      <c r="F12" s="126"/>
      <c r="G12" s="126"/>
    </row>
    <row r="13" spans="1:7" s="120" customFormat="1" ht="19.5" customHeight="1">
      <c r="A13" s="121" t="s">
        <v>725</v>
      </c>
      <c r="B13" s="122"/>
      <c r="C13" s="122"/>
      <c r="D13" s="123"/>
      <c r="E13" s="126"/>
      <c r="F13" s="126"/>
      <c r="G13" s="126"/>
    </row>
    <row r="14" spans="1:7" s="120" customFormat="1" ht="19.5" customHeight="1">
      <c r="A14" s="124" t="s">
        <v>726</v>
      </c>
      <c r="B14" s="122"/>
      <c r="C14" s="122"/>
      <c r="D14" s="123"/>
      <c r="E14" s="126"/>
      <c r="F14" s="126"/>
      <c r="G14" s="126"/>
    </row>
    <row r="15" spans="1:7" s="120" customFormat="1" ht="19.5" customHeight="1">
      <c r="A15" s="121" t="s">
        <v>727</v>
      </c>
      <c r="B15" s="122"/>
      <c r="C15" s="122"/>
      <c r="D15" s="123"/>
      <c r="E15" s="126"/>
      <c r="F15" s="126"/>
      <c r="G15" s="126"/>
    </row>
    <row r="16" spans="1:7" s="120" customFormat="1" ht="19.5" customHeight="1">
      <c r="A16" s="124" t="s">
        <v>726</v>
      </c>
      <c r="B16" s="122"/>
      <c r="C16" s="122"/>
      <c r="D16" s="123"/>
      <c r="E16" s="126"/>
      <c r="F16" s="126"/>
      <c r="G16" s="126"/>
    </row>
    <row r="17" spans="1:7" s="120" customFormat="1" ht="19.5" customHeight="1">
      <c r="A17" s="121" t="s">
        <v>728</v>
      </c>
      <c r="B17" s="122"/>
      <c r="C17" s="122"/>
      <c r="D17" s="123"/>
      <c r="E17" s="126"/>
      <c r="F17" s="126"/>
      <c r="G17" s="126"/>
    </row>
    <row r="18" spans="1:7" s="120" customFormat="1" ht="19.5" customHeight="1">
      <c r="A18" s="121" t="s">
        <v>729</v>
      </c>
      <c r="B18" s="122"/>
      <c r="C18" s="122"/>
      <c r="D18" s="123"/>
      <c r="E18" s="126"/>
      <c r="F18" s="126"/>
      <c r="G18" s="126"/>
    </row>
    <row r="19" spans="1:7" s="120" customFormat="1" ht="19.5" customHeight="1">
      <c r="A19" s="121" t="s">
        <v>730</v>
      </c>
      <c r="B19" s="122"/>
      <c r="C19" s="122"/>
      <c r="D19" s="123"/>
      <c r="E19" s="126"/>
      <c r="F19" s="126"/>
      <c r="G19" s="126"/>
    </row>
    <row r="20" spans="1:7" s="120" customFormat="1" ht="19.5" customHeight="1">
      <c r="A20" s="124" t="s">
        <v>726</v>
      </c>
      <c r="B20" s="122"/>
      <c r="C20" s="122"/>
      <c r="D20" s="123"/>
      <c r="E20" s="126"/>
      <c r="F20" s="126"/>
      <c r="G20" s="126"/>
    </row>
    <row r="21" spans="1:7" s="120" customFormat="1" ht="19.5" customHeight="1">
      <c r="A21" s="121" t="s">
        <v>731</v>
      </c>
      <c r="B21" s="122"/>
      <c r="C21" s="122"/>
      <c r="D21" s="123"/>
      <c r="E21" s="126"/>
      <c r="F21" s="126"/>
      <c r="G21" s="126"/>
    </row>
    <row r="22" spans="1:7" s="120" customFormat="1" ht="19.5" customHeight="1">
      <c r="A22" s="124" t="s">
        <v>724</v>
      </c>
      <c r="B22" s="122"/>
      <c r="C22" s="122"/>
      <c r="D22" s="123"/>
      <c r="E22" s="126"/>
      <c r="F22" s="126"/>
      <c r="G22" s="126"/>
    </row>
    <row r="23" spans="1:7" s="120" customFormat="1" ht="19.5" customHeight="1">
      <c r="A23" s="121" t="s">
        <v>732</v>
      </c>
      <c r="B23" s="122"/>
      <c r="C23" s="122"/>
      <c r="D23" s="123"/>
      <c r="E23" s="126"/>
      <c r="F23" s="126"/>
      <c r="G23" s="126"/>
    </row>
    <row r="24" spans="1:7" s="120" customFormat="1" ht="19.5" customHeight="1">
      <c r="A24" s="124" t="s">
        <v>733</v>
      </c>
      <c r="B24" s="122"/>
      <c r="C24" s="122"/>
      <c r="D24" s="123"/>
      <c r="E24" s="126"/>
      <c r="F24" s="126"/>
      <c r="G24" s="126"/>
    </row>
    <row r="25" spans="1:7" s="120" customFormat="1" ht="19.5" customHeight="1">
      <c r="A25" s="121" t="s">
        <v>734</v>
      </c>
      <c r="B25" s="122"/>
      <c r="C25" s="122"/>
      <c r="D25" s="123"/>
      <c r="E25" s="126"/>
      <c r="F25" s="126"/>
      <c r="G25" s="126"/>
    </row>
    <row r="26" spans="1:7" s="120" customFormat="1" ht="19.5" customHeight="1">
      <c r="A26" s="121" t="s">
        <v>735</v>
      </c>
      <c r="B26" s="122"/>
      <c r="C26" s="122"/>
      <c r="D26" s="123"/>
      <c r="E26" s="126"/>
      <c r="F26" s="126"/>
      <c r="G26" s="126"/>
    </row>
  </sheetData>
  <sheetProtection/>
  <mergeCells count="1">
    <mergeCell ref="A2:G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0" r:id="rId1"/>
  <headerFooter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6:M17"/>
  <sheetViews>
    <sheetView zoomScalePageLayoutView="0" workbookViewId="0" topLeftCell="A1">
      <selection activeCell="H37" sqref="H37"/>
    </sheetView>
  </sheetViews>
  <sheetFormatPr defaultColWidth="9.00390625" defaultRowHeight="14.25"/>
  <cols>
    <col min="1" max="2" width="9.00390625" style="63" customWidth="1"/>
    <col min="3" max="3" width="7.00390625" style="63" customWidth="1"/>
    <col min="4" max="4" width="9.00390625" style="63" customWidth="1"/>
    <col min="5" max="5" width="3.75390625" style="63" customWidth="1"/>
    <col min="6" max="10" width="9.00390625" style="63" customWidth="1"/>
    <col min="11" max="11" width="18.875" style="63" customWidth="1"/>
    <col min="12" max="16384" width="9.00390625" style="63" customWidth="1"/>
  </cols>
  <sheetData>
    <row r="6" spans="1:13" ht="39.75" customHeight="1">
      <c r="A6" s="398" t="s">
        <v>797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1:13" ht="39.75" customHeight="1">
      <c r="A7" s="398" t="s">
        <v>13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</row>
    <row r="15" ht="20.25">
      <c r="F15" s="64" t="s">
        <v>73</v>
      </c>
    </row>
    <row r="16" ht="20.25">
      <c r="F16" s="65"/>
    </row>
    <row r="17" ht="20.25">
      <c r="F17" s="64" t="s">
        <v>694</v>
      </c>
    </row>
  </sheetData>
  <sheetProtection/>
  <mergeCells count="2">
    <mergeCell ref="A6:M6"/>
    <mergeCell ref="A7:M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PageLayoutView="0" workbookViewId="0" topLeftCell="A1">
      <selection activeCell="B1" sqref="B1:G16384"/>
    </sheetView>
  </sheetViews>
  <sheetFormatPr defaultColWidth="9.00390625" defaultRowHeight="14.25"/>
  <cols>
    <col min="1" max="1" width="41.625" style="9" customWidth="1"/>
    <col min="2" max="7" width="12.625" style="9" customWidth="1"/>
    <col min="8" max="16384" width="9.00390625" style="9" customWidth="1"/>
  </cols>
  <sheetData>
    <row r="1" spans="1:7" ht="15">
      <c r="A1" s="52" t="s">
        <v>1279</v>
      </c>
      <c r="B1" s="51"/>
      <c r="C1" s="51"/>
      <c r="D1" s="51"/>
      <c r="E1" s="51"/>
      <c r="F1" s="53"/>
      <c r="G1" s="53"/>
    </row>
    <row r="2" spans="1:7" ht="20.25">
      <c r="A2" s="399" t="s">
        <v>798</v>
      </c>
      <c r="B2" s="399"/>
      <c r="C2" s="399"/>
      <c r="D2" s="399"/>
      <c r="E2" s="399"/>
      <c r="F2" s="399"/>
      <c r="G2" s="399"/>
    </row>
    <row r="3" spans="1:7" ht="14.25">
      <c r="A3" s="54"/>
      <c r="B3" s="55"/>
      <c r="C3" s="55"/>
      <c r="D3" s="55"/>
      <c r="E3" s="55"/>
      <c r="F3" s="55"/>
      <c r="G3" s="43" t="s">
        <v>640</v>
      </c>
    </row>
    <row r="4" spans="1:7" ht="39.75" customHeight="1">
      <c r="A4" s="56" t="s">
        <v>641</v>
      </c>
      <c r="B4" s="57" t="s">
        <v>605</v>
      </c>
      <c r="C4" s="57" t="s">
        <v>642</v>
      </c>
      <c r="D4" s="57" t="s">
        <v>14</v>
      </c>
      <c r="E4" s="57" t="s">
        <v>643</v>
      </c>
      <c r="F4" s="57" t="s">
        <v>606</v>
      </c>
      <c r="G4" s="57" t="s">
        <v>799</v>
      </c>
    </row>
    <row r="5" spans="1:7" ht="15">
      <c r="A5" s="58" t="s">
        <v>0</v>
      </c>
      <c r="B5" s="59"/>
      <c r="C5" s="66"/>
      <c r="D5" s="66"/>
      <c r="E5" s="66"/>
      <c r="F5" s="67"/>
      <c r="G5" s="68"/>
    </row>
    <row r="6" spans="1:7" ht="15">
      <c r="A6" s="60" t="s">
        <v>1</v>
      </c>
      <c r="B6" s="59"/>
      <c r="C6" s="66"/>
      <c r="D6" s="66"/>
      <c r="E6" s="66"/>
      <c r="F6" s="67"/>
      <c r="G6" s="68"/>
    </row>
    <row r="7" spans="1:7" ht="15">
      <c r="A7" s="60" t="s">
        <v>2</v>
      </c>
      <c r="B7" s="59"/>
      <c r="C7" s="66"/>
      <c r="D7" s="66"/>
      <c r="E7" s="66"/>
      <c r="F7" s="67"/>
      <c r="G7" s="68"/>
    </row>
    <row r="8" spans="1:7" ht="15">
      <c r="A8" s="60" t="s">
        <v>3</v>
      </c>
      <c r="B8" s="59"/>
      <c r="C8" s="66"/>
      <c r="D8" s="66"/>
      <c r="E8" s="66"/>
      <c r="F8" s="67"/>
      <c r="G8" s="68"/>
    </row>
    <row r="9" spans="1:7" ht="15">
      <c r="A9" s="61" t="s">
        <v>4</v>
      </c>
      <c r="B9" s="59"/>
      <c r="C9" s="66"/>
      <c r="D9" s="66"/>
      <c r="E9" s="66"/>
      <c r="F9" s="67"/>
      <c r="G9" s="68"/>
    </row>
    <row r="10" spans="1:7" ht="15">
      <c r="A10" s="60" t="s">
        <v>1</v>
      </c>
      <c r="B10" s="59"/>
      <c r="C10" s="66"/>
      <c r="D10" s="66"/>
      <c r="E10" s="66"/>
      <c r="F10" s="67"/>
      <c r="G10" s="68"/>
    </row>
    <row r="11" spans="1:7" ht="15">
      <c r="A11" s="60" t="s">
        <v>2</v>
      </c>
      <c r="B11" s="59"/>
      <c r="C11" s="66"/>
      <c r="D11" s="66"/>
      <c r="E11" s="66"/>
      <c r="F11" s="67"/>
      <c r="G11" s="68"/>
    </row>
    <row r="12" spans="1:7" ht="15">
      <c r="A12" s="60" t="s">
        <v>3</v>
      </c>
      <c r="B12" s="59"/>
      <c r="C12" s="66"/>
      <c r="D12" s="66"/>
      <c r="E12" s="66"/>
      <c r="F12" s="67"/>
      <c r="G12" s="68"/>
    </row>
    <row r="13" spans="1:7" ht="15">
      <c r="A13" s="60" t="s">
        <v>5</v>
      </c>
      <c r="B13" s="59"/>
      <c r="C13" s="66"/>
      <c r="D13" s="66"/>
      <c r="E13" s="66"/>
      <c r="F13" s="67"/>
      <c r="G13" s="68"/>
    </row>
    <row r="14" spans="1:7" ht="15">
      <c r="A14" s="60" t="s">
        <v>1</v>
      </c>
      <c r="B14" s="59"/>
      <c r="C14" s="66"/>
      <c r="D14" s="66"/>
      <c r="E14" s="66"/>
      <c r="F14" s="67"/>
      <c r="G14" s="68"/>
    </row>
    <row r="15" spans="1:7" ht="15">
      <c r="A15" s="60" t="s">
        <v>3</v>
      </c>
      <c r="B15" s="59"/>
      <c r="C15" s="66"/>
      <c r="D15" s="66"/>
      <c r="E15" s="66"/>
      <c r="F15" s="67"/>
      <c r="G15" s="68"/>
    </row>
    <row r="16" spans="1:7" ht="15">
      <c r="A16" s="60" t="s">
        <v>6</v>
      </c>
      <c r="B16" s="59"/>
      <c r="C16" s="66"/>
      <c r="D16" s="66"/>
      <c r="E16" s="66"/>
      <c r="F16" s="67"/>
      <c r="G16" s="68"/>
    </row>
    <row r="17" spans="1:7" ht="15">
      <c r="A17" s="60" t="s">
        <v>1</v>
      </c>
      <c r="B17" s="59"/>
      <c r="C17" s="66"/>
      <c r="D17" s="66"/>
      <c r="E17" s="66"/>
      <c r="F17" s="67"/>
      <c r="G17" s="68"/>
    </row>
    <row r="18" spans="1:7" ht="15">
      <c r="A18" s="60" t="s">
        <v>2</v>
      </c>
      <c r="B18" s="59"/>
      <c r="C18" s="66"/>
      <c r="D18" s="66"/>
      <c r="E18" s="66"/>
      <c r="F18" s="67"/>
      <c r="G18" s="68"/>
    </row>
    <row r="19" spans="1:7" ht="15">
      <c r="A19" s="60" t="s">
        <v>3</v>
      </c>
      <c r="B19" s="59"/>
      <c r="C19" s="66"/>
      <c r="D19" s="66"/>
      <c r="E19" s="66"/>
      <c r="F19" s="67"/>
      <c r="G19" s="68"/>
    </row>
    <row r="20" spans="1:7" ht="15">
      <c r="A20" s="60" t="s">
        <v>7</v>
      </c>
      <c r="B20" s="59"/>
      <c r="C20" s="66"/>
      <c r="D20" s="66"/>
      <c r="E20" s="66"/>
      <c r="F20" s="67"/>
      <c r="G20" s="68"/>
    </row>
    <row r="21" spans="1:7" ht="15">
      <c r="A21" s="60" t="s">
        <v>1</v>
      </c>
      <c r="B21" s="59"/>
      <c r="C21" s="66"/>
      <c r="D21" s="66"/>
      <c r="E21" s="66"/>
      <c r="F21" s="67"/>
      <c r="G21" s="68"/>
    </row>
    <row r="22" spans="1:7" ht="15">
      <c r="A22" s="60" t="s">
        <v>3</v>
      </c>
      <c r="B22" s="59"/>
      <c r="C22" s="66"/>
      <c r="D22" s="66"/>
      <c r="E22" s="66"/>
      <c r="F22" s="67"/>
      <c r="G22" s="68"/>
    </row>
    <row r="23" spans="1:7" ht="15">
      <c r="A23" s="62" t="s">
        <v>8</v>
      </c>
      <c r="B23" s="59"/>
      <c r="C23" s="66"/>
      <c r="D23" s="66"/>
      <c r="E23" s="66"/>
      <c r="F23" s="67"/>
      <c r="G23" s="68"/>
    </row>
    <row r="24" spans="1:7" ht="15">
      <c r="A24" s="60" t="s">
        <v>1</v>
      </c>
      <c r="B24" s="59"/>
      <c r="C24" s="66"/>
      <c r="D24" s="66"/>
      <c r="E24" s="66"/>
      <c r="F24" s="67"/>
      <c r="G24" s="68"/>
    </row>
    <row r="25" spans="1:7" ht="15">
      <c r="A25" s="60" t="s">
        <v>3</v>
      </c>
      <c r="B25" s="59"/>
      <c r="C25" s="66"/>
      <c r="D25" s="66"/>
      <c r="E25" s="66"/>
      <c r="F25" s="67"/>
      <c r="G25" s="68"/>
    </row>
    <row r="26" spans="1:7" ht="15">
      <c r="A26" s="62" t="s">
        <v>9</v>
      </c>
      <c r="B26" s="59"/>
      <c r="C26" s="66"/>
      <c r="D26" s="66"/>
      <c r="E26" s="66"/>
      <c r="F26" s="67"/>
      <c r="G26" s="68"/>
    </row>
    <row r="27" spans="1:7" ht="15">
      <c r="A27" s="60" t="s">
        <v>1</v>
      </c>
      <c r="B27" s="59"/>
      <c r="C27" s="66"/>
      <c r="D27" s="66"/>
      <c r="E27" s="66"/>
      <c r="F27" s="67"/>
      <c r="G27" s="68"/>
    </row>
    <row r="28" spans="1:7" ht="15">
      <c r="A28" s="60" t="s">
        <v>2</v>
      </c>
      <c r="B28" s="59"/>
      <c r="C28" s="66"/>
      <c r="D28" s="66"/>
      <c r="E28" s="66"/>
      <c r="F28" s="67"/>
      <c r="G28" s="68"/>
    </row>
    <row r="29" spans="1:7" ht="15">
      <c r="A29" s="60" t="s">
        <v>3</v>
      </c>
      <c r="B29" s="59"/>
      <c r="C29" s="66"/>
      <c r="D29" s="66"/>
      <c r="E29" s="66"/>
      <c r="F29" s="67"/>
      <c r="G29" s="68"/>
    </row>
    <row r="30" spans="1:7" ht="15">
      <c r="A30" s="62" t="s">
        <v>10</v>
      </c>
      <c r="B30" s="59"/>
      <c r="C30" s="66"/>
      <c r="D30" s="66"/>
      <c r="E30" s="66"/>
      <c r="F30" s="67"/>
      <c r="G30" s="68"/>
    </row>
    <row r="31" spans="1:7" ht="15">
      <c r="A31" s="60" t="s">
        <v>1</v>
      </c>
      <c r="B31" s="59"/>
      <c r="C31" s="66"/>
      <c r="D31" s="66"/>
      <c r="E31" s="66"/>
      <c r="F31" s="67"/>
      <c r="G31" s="68"/>
    </row>
    <row r="32" spans="1:7" ht="15">
      <c r="A32" s="60" t="s">
        <v>2</v>
      </c>
      <c r="B32" s="59"/>
      <c r="C32" s="66"/>
      <c r="D32" s="66"/>
      <c r="E32" s="66"/>
      <c r="F32" s="67"/>
      <c r="G32" s="68"/>
    </row>
    <row r="33" spans="1:7" ht="15">
      <c r="A33" s="60" t="s">
        <v>3</v>
      </c>
      <c r="B33" s="59"/>
      <c r="C33" s="66"/>
      <c r="D33" s="66"/>
      <c r="E33" s="66"/>
      <c r="F33" s="67"/>
      <c r="G33" s="68"/>
    </row>
    <row r="34" spans="1:7" ht="15">
      <c r="A34" s="60" t="s">
        <v>11</v>
      </c>
      <c r="B34" s="59"/>
      <c r="C34" s="66"/>
      <c r="D34" s="66"/>
      <c r="E34" s="66"/>
      <c r="F34" s="67"/>
      <c r="G34" s="67"/>
    </row>
    <row r="35" spans="1:7" ht="15">
      <c r="A35" s="60" t="s">
        <v>12</v>
      </c>
      <c r="B35" s="59"/>
      <c r="C35" s="66"/>
      <c r="D35" s="66"/>
      <c r="E35" s="66"/>
      <c r="F35" s="67"/>
      <c r="G35" s="67"/>
    </row>
    <row r="36" spans="1:7" ht="15">
      <c r="A36" s="60" t="s">
        <v>2</v>
      </c>
      <c r="B36" s="59"/>
      <c r="C36" s="66"/>
      <c r="D36" s="66"/>
      <c r="E36" s="66"/>
      <c r="F36" s="67"/>
      <c r="G36" s="67"/>
    </row>
    <row r="37" spans="1:7" ht="15">
      <c r="A37" s="60" t="s">
        <v>3</v>
      </c>
      <c r="B37" s="59"/>
      <c r="C37" s="66"/>
      <c r="D37" s="66"/>
      <c r="E37" s="66"/>
      <c r="F37" s="67"/>
      <c r="G37" s="68"/>
    </row>
  </sheetData>
  <sheetProtection/>
  <mergeCells count="1">
    <mergeCell ref="A2:G2"/>
  </mergeCells>
  <printOptions horizontalCentered="1"/>
  <pageMargins left="0.5118110236220472" right="0.3937007874015748" top="0.35" bottom="0.3937007874015748" header="0.31496062992125984" footer="0.15748031496062992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selection activeCell="E1" sqref="E1:E16384"/>
    </sheetView>
  </sheetViews>
  <sheetFormatPr defaultColWidth="9.00390625" defaultRowHeight="14.25"/>
  <cols>
    <col min="1" max="1" width="44.25390625" style="9" bestFit="1" customWidth="1"/>
    <col min="2" max="7" width="12.625" style="9" customWidth="1"/>
    <col min="8" max="16384" width="9.00390625" style="9" customWidth="1"/>
  </cols>
  <sheetData>
    <row r="1" spans="1:7" ht="15">
      <c r="A1" s="52" t="s">
        <v>1280</v>
      </c>
      <c r="B1" s="69"/>
      <c r="C1" s="69"/>
      <c r="D1" s="69"/>
      <c r="E1" s="69"/>
      <c r="F1" s="53"/>
      <c r="G1" s="69"/>
    </row>
    <row r="2" spans="1:7" ht="20.25">
      <c r="A2" s="399" t="s">
        <v>800</v>
      </c>
      <c r="B2" s="399"/>
      <c r="C2" s="399"/>
      <c r="D2" s="399"/>
      <c r="E2" s="399"/>
      <c r="F2" s="399"/>
      <c r="G2" s="399"/>
    </row>
    <row r="3" spans="1:7" ht="14.25">
      <c r="A3" s="70"/>
      <c r="B3" s="70"/>
      <c r="C3" s="70"/>
      <c r="D3" s="70"/>
      <c r="E3" s="70"/>
      <c r="F3" s="70"/>
      <c r="G3" s="43" t="s">
        <v>640</v>
      </c>
    </row>
    <row r="4" spans="1:7" ht="28.5">
      <c r="A4" s="56" t="s">
        <v>641</v>
      </c>
      <c r="B4" s="57" t="s">
        <v>605</v>
      </c>
      <c r="C4" s="57" t="s">
        <v>642</v>
      </c>
      <c r="D4" s="57" t="s">
        <v>543</v>
      </c>
      <c r="E4" s="57" t="s">
        <v>643</v>
      </c>
      <c r="F4" s="57" t="s">
        <v>606</v>
      </c>
      <c r="G4" s="57" t="s">
        <v>799</v>
      </c>
    </row>
    <row r="5" spans="1:7" ht="19.5" customHeight="1">
      <c r="A5" s="71" t="s">
        <v>15</v>
      </c>
      <c r="B5" s="59"/>
      <c r="C5" s="72"/>
      <c r="D5" s="72"/>
      <c r="E5" s="72"/>
      <c r="F5" s="67"/>
      <c r="G5" s="73"/>
    </row>
    <row r="6" spans="1:7" ht="19.5" customHeight="1">
      <c r="A6" s="61" t="s">
        <v>525</v>
      </c>
      <c r="B6" s="59"/>
      <c r="C6" s="72"/>
      <c r="D6" s="72"/>
      <c r="E6" s="72"/>
      <c r="F6" s="67"/>
      <c r="G6" s="73"/>
    </row>
    <row r="7" spans="1:7" ht="19.5" customHeight="1">
      <c r="A7" s="60" t="s">
        <v>526</v>
      </c>
      <c r="B7" s="59"/>
      <c r="C7" s="72"/>
      <c r="D7" s="72"/>
      <c r="E7" s="72"/>
      <c r="F7" s="67"/>
      <c r="G7" s="73"/>
    </row>
    <row r="8" spans="1:7" ht="19.5" customHeight="1">
      <c r="A8" s="60" t="s">
        <v>527</v>
      </c>
      <c r="B8" s="59"/>
      <c r="C8" s="72"/>
      <c r="D8" s="72"/>
      <c r="E8" s="72"/>
      <c r="F8" s="67"/>
      <c r="G8" s="73"/>
    </row>
    <row r="9" spans="1:7" ht="19.5" customHeight="1">
      <c r="A9" s="60" t="s">
        <v>528</v>
      </c>
      <c r="B9" s="59"/>
      <c r="C9" s="72"/>
      <c r="D9" s="72"/>
      <c r="E9" s="72"/>
      <c r="F9" s="67"/>
      <c r="G9" s="73"/>
    </row>
    <row r="10" spans="1:7" ht="19.5" customHeight="1">
      <c r="A10" s="60" t="s">
        <v>529</v>
      </c>
      <c r="B10" s="59"/>
      <c r="C10" s="72"/>
      <c r="D10" s="72"/>
      <c r="E10" s="72"/>
      <c r="F10" s="67"/>
      <c r="G10" s="73"/>
    </row>
    <row r="11" spans="1:7" ht="19.5" customHeight="1">
      <c r="A11" s="60" t="s">
        <v>530</v>
      </c>
      <c r="B11" s="59"/>
      <c r="C11" s="72"/>
      <c r="D11" s="72"/>
      <c r="E11" s="72"/>
      <c r="F11" s="67"/>
      <c r="G11" s="73"/>
    </row>
    <row r="12" spans="1:7" ht="19.5" customHeight="1">
      <c r="A12" s="60" t="s">
        <v>527</v>
      </c>
      <c r="B12" s="59"/>
      <c r="C12" s="72"/>
      <c r="D12" s="72"/>
      <c r="E12" s="72"/>
      <c r="F12" s="67"/>
      <c r="G12" s="73"/>
    </row>
    <row r="13" spans="1:7" ht="19.5" customHeight="1">
      <c r="A13" s="60" t="s">
        <v>531</v>
      </c>
      <c r="B13" s="59"/>
      <c r="C13" s="72"/>
      <c r="D13" s="72"/>
      <c r="E13" s="72"/>
      <c r="F13" s="67"/>
      <c r="G13" s="73"/>
    </row>
    <row r="14" spans="1:7" ht="19.5" customHeight="1">
      <c r="A14" s="60" t="s">
        <v>532</v>
      </c>
      <c r="B14" s="59"/>
      <c r="C14" s="72"/>
      <c r="D14" s="72"/>
      <c r="E14" s="72"/>
      <c r="F14" s="67"/>
      <c r="G14" s="73"/>
    </row>
    <row r="15" spans="1:7" ht="19.5" customHeight="1">
      <c r="A15" s="60" t="s">
        <v>533</v>
      </c>
      <c r="B15" s="59"/>
      <c r="C15" s="72"/>
      <c r="D15" s="72"/>
      <c r="E15" s="72"/>
      <c r="F15" s="67"/>
      <c r="G15" s="73"/>
    </row>
    <row r="16" spans="1:7" ht="19.5" customHeight="1">
      <c r="A16" s="60" t="s">
        <v>534</v>
      </c>
      <c r="B16" s="59"/>
      <c r="C16" s="72"/>
      <c r="D16" s="72"/>
      <c r="E16" s="72"/>
      <c r="F16" s="67"/>
      <c r="G16" s="73"/>
    </row>
    <row r="17" spans="1:7" ht="19.5" customHeight="1">
      <c r="A17" s="60" t="s">
        <v>535</v>
      </c>
      <c r="B17" s="59"/>
      <c r="C17" s="72"/>
      <c r="D17" s="72"/>
      <c r="E17" s="72"/>
      <c r="F17" s="67"/>
      <c r="G17" s="73"/>
    </row>
    <row r="18" spans="1:7" ht="19.5" customHeight="1">
      <c r="A18" s="60" t="s">
        <v>536</v>
      </c>
      <c r="B18" s="59"/>
      <c r="C18" s="72"/>
      <c r="D18" s="72"/>
      <c r="E18" s="72"/>
      <c r="F18" s="67"/>
      <c r="G18" s="73"/>
    </row>
    <row r="19" spans="1:7" ht="19.5" customHeight="1">
      <c r="A19" s="60" t="s">
        <v>537</v>
      </c>
      <c r="B19" s="59"/>
      <c r="C19" s="72"/>
      <c r="D19" s="72"/>
      <c r="E19" s="72"/>
      <c r="F19" s="67"/>
      <c r="G19" s="73"/>
    </row>
    <row r="20" spans="1:7" ht="19.5" customHeight="1">
      <c r="A20" s="62" t="s">
        <v>538</v>
      </c>
      <c r="B20" s="59"/>
      <c r="C20" s="72"/>
      <c r="D20" s="72"/>
      <c r="E20" s="72"/>
      <c r="F20" s="67"/>
      <c r="G20" s="73"/>
    </row>
    <row r="21" spans="1:7" ht="19.5" customHeight="1">
      <c r="A21" s="60" t="s">
        <v>539</v>
      </c>
      <c r="B21" s="59"/>
      <c r="C21" s="72"/>
      <c r="D21" s="72"/>
      <c r="E21" s="72"/>
      <c r="F21" s="67"/>
      <c r="G21" s="73"/>
    </row>
    <row r="22" spans="1:7" ht="19.5" customHeight="1">
      <c r="A22" s="62" t="s">
        <v>540</v>
      </c>
      <c r="B22" s="59"/>
      <c r="C22" s="72"/>
      <c r="D22" s="72"/>
      <c r="E22" s="72"/>
      <c r="F22" s="67"/>
      <c r="G22" s="73"/>
    </row>
    <row r="23" spans="1:7" ht="19.5" customHeight="1">
      <c r="A23" s="62" t="s">
        <v>541</v>
      </c>
      <c r="B23" s="59"/>
      <c r="C23" s="72"/>
      <c r="D23" s="72"/>
      <c r="E23" s="72"/>
      <c r="F23" s="67"/>
      <c r="G23" s="73"/>
    </row>
    <row r="24" spans="1:7" ht="19.5" customHeight="1">
      <c r="A24" s="62" t="s">
        <v>542</v>
      </c>
      <c r="B24" s="59"/>
      <c r="C24" s="72"/>
      <c r="D24" s="72"/>
      <c r="E24" s="72"/>
      <c r="F24" s="67"/>
      <c r="G24" s="72"/>
    </row>
  </sheetData>
  <sheetProtection/>
  <mergeCells count="1">
    <mergeCell ref="A2:G2"/>
  </mergeCells>
  <printOptions horizontalCentered="1"/>
  <pageMargins left="0.3" right="0.16" top="0.39" bottom="0.61" header="0.31" footer="0.3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6:K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6384" width="9.00390625" style="9" customWidth="1"/>
  </cols>
  <sheetData>
    <row r="6" spans="1:11" ht="35.25">
      <c r="A6" s="357" t="s">
        <v>74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</row>
    <row r="15" ht="20.25">
      <c r="D15" s="38" t="s">
        <v>73</v>
      </c>
    </row>
    <row r="16" ht="20.25">
      <c r="D16" s="39"/>
    </row>
    <row r="17" ht="20.25">
      <c r="D17" s="38" t="s">
        <v>695</v>
      </c>
    </row>
  </sheetData>
  <sheetProtection/>
  <mergeCells count="1">
    <mergeCell ref="A6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" sqref="F1:H16384"/>
    </sheetView>
  </sheetViews>
  <sheetFormatPr defaultColWidth="9.00390625" defaultRowHeight="14.25"/>
  <cols>
    <col min="1" max="1" width="40.875" style="5" bestFit="1" customWidth="1"/>
    <col min="2" max="4" width="12.625" style="2" customWidth="1"/>
    <col min="5" max="5" width="12.375" style="2" hidden="1" customWidth="1"/>
    <col min="6" max="7" width="12.625" style="2" customWidth="1"/>
    <col min="8" max="8" width="12.625" style="3" customWidth="1"/>
    <col min="9" max="16384" width="9.00390625" style="5" customWidth="1"/>
  </cols>
  <sheetData>
    <row r="1" ht="14.25">
      <c r="A1" s="269" t="s">
        <v>639</v>
      </c>
    </row>
    <row r="2" spans="1:8" ht="20.25">
      <c r="A2" s="358" t="s">
        <v>1282</v>
      </c>
      <c r="B2" s="358"/>
      <c r="C2" s="358"/>
      <c r="D2" s="358"/>
      <c r="E2" s="358"/>
      <c r="F2" s="358"/>
      <c r="G2" s="358"/>
      <c r="H2" s="358"/>
    </row>
    <row r="3" spans="1:8" ht="14.25">
      <c r="A3" s="6"/>
      <c r="C3" s="7"/>
      <c r="D3" s="7"/>
      <c r="F3" s="7"/>
      <c r="G3" s="7"/>
      <c r="H3" s="8" t="s">
        <v>640</v>
      </c>
    </row>
    <row r="4" spans="1:8" s="4" customFormat="1" ht="38.25" customHeight="1">
      <c r="A4" s="87" t="s">
        <v>641</v>
      </c>
      <c r="B4" s="88" t="s">
        <v>575</v>
      </c>
      <c r="C4" s="88" t="s">
        <v>642</v>
      </c>
      <c r="D4" s="88" t="s">
        <v>75</v>
      </c>
      <c r="E4" s="223" t="s">
        <v>1171</v>
      </c>
      <c r="F4" s="88" t="s">
        <v>643</v>
      </c>
      <c r="G4" s="88" t="s">
        <v>338</v>
      </c>
      <c r="H4" s="88" t="s">
        <v>76</v>
      </c>
    </row>
    <row r="5" spans="1:9" ht="19.5" customHeight="1">
      <c r="A5" s="89" t="s">
        <v>644</v>
      </c>
      <c r="B5" s="90">
        <f>SUM(B6,B19)</f>
        <v>1041987</v>
      </c>
      <c r="C5" s="90">
        <f>SUM(C6,C19)</f>
        <v>800000</v>
      </c>
      <c r="D5" s="90">
        <f>SUM(D6,D19)</f>
        <v>802847</v>
      </c>
      <c r="E5" s="90">
        <f>SUM(E6,E19)</f>
        <v>914005</v>
      </c>
      <c r="F5" s="91">
        <f>IF(B5=0,0,C5/B5*100)</f>
        <v>76.78</v>
      </c>
      <c r="G5" s="91">
        <f>IF(D5=0,0,D5/C5*100)</f>
        <v>100.36</v>
      </c>
      <c r="H5" s="91">
        <f aca="true" t="shared" si="0" ref="H5:H46">IF(E5=0,0,D5/E5*100)</f>
        <v>87.84</v>
      </c>
      <c r="I5" s="7"/>
    </row>
    <row r="6" spans="1:8" ht="19.5" customHeight="1">
      <c r="A6" s="89" t="s">
        <v>645</v>
      </c>
      <c r="B6" s="90">
        <f>SUM(B7:B18)</f>
        <v>583287</v>
      </c>
      <c r="C6" s="90">
        <f>SUM(C7:C18)</f>
        <v>482382</v>
      </c>
      <c r="D6" s="90">
        <f>SUM(D7:D18)</f>
        <v>477962</v>
      </c>
      <c r="E6" s="90">
        <f>SUM(E7:E18)</f>
        <v>466652</v>
      </c>
      <c r="F6" s="91">
        <f aca="true" t="shared" si="1" ref="F6:F58">IF(B6=0,0,C6/B6*100)</f>
        <v>82.7</v>
      </c>
      <c r="G6" s="91">
        <f aca="true" t="shared" si="2" ref="G6:G58">IF(D6=0,0,D6/C6*100)</f>
        <v>99.08</v>
      </c>
      <c r="H6" s="91">
        <f t="shared" si="0"/>
        <v>102.42</v>
      </c>
    </row>
    <row r="7" spans="1:8" ht="19.5" customHeight="1">
      <c r="A7" s="92" t="s">
        <v>646</v>
      </c>
      <c r="B7" s="90">
        <v>207251</v>
      </c>
      <c r="C7" s="222">
        <v>147317</v>
      </c>
      <c r="D7" s="222">
        <v>144281</v>
      </c>
      <c r="E7" s="222">
        <f>134336+11416.29</f>
        <v>145752</v>
      </c>
      <c r="F7" s="91">
        <f t="shared" si="1"/>
        <v>71.08</v>
      </c>
      <c r="G7" s="91">
        <f t="shared" si="2"/>
        <v>97.94</v>
      </c>
      <c r="H7" s="91">
        <f t="shared" si="0"/>
        <v>98.99</v>
      </c>
    </row>
    <row r="8" spans="1:8" ht="19.5" customHeight="1">
      <c r="A8" s="92" t="s">
        <v>647</v>
      </c>
      <c r="B8" s="90"/>
      <c r="C8" s="222">
        <v>3757</v>
      </c>
      <c r="D8" s="222">
        <v>2563</v>
      </c>
      <c r="E8" s="222">
        <v>2382</v>
      </c>
      <c r="F8" s="91">
        <f t="shared" si="1"/>
        <v>0</v>
      </c>
      <c r="G8" s="91">
        <f t="shared" si="2"/>
        <v>68.22</v>
      </c>
      <c r="H8" s="91">
        <f t="shared" si="0"/>
        <v>107.6</v>
      </c>
    </row>
    <row r="9" spans="1:8" ht="19.5" customHeight="1">
      <c r="A9" s="92" t="s">
        <v>648</v>
      </c>
      <c r="B9" s="90">
        <v>61177</v>
      </c>
      <c r="C9" s="90">
        <v>67380</v>
      </c>
      <c r="D9" s="90">
        <v>64898</v>
      </c>
      <c r="E9" s="222">
        <v>50092</v>
      </c>
      <c r="F9" s="91">
        <f t="shared" si="1"/>
        <v>110.14</v>
      </c>
      <c r="G9" s="91">
        <f t="shared" si="2"/>
        <v>96.32</v>
      </c>
      <c r="H9" s="91">
        <f t="shared" si="0"/>
        <v>129.56</v>
      </c>
    </row>
    <row r="10" spans="1:8" ht="19.5" customHeight="1">
      <c r="A10" s="92" t="s">
        <v>649</v>
      </c>
      <c r="B10" s="90">
        <v>12127</v>
      </c>
      <c r="C10" s="90">
        <v>13699</v>
      </c>
      <c r="D10" s="90">
        <v>13015</v>
      </c>
      <c r="E10" s="222">
        <v>10895</v>
      </c>
      <c r="F10" s="91">
        <f t="shared" si="1"/>
        <v>112.96</v>
      </c>
      <c r="G10" s="91">
        <f t="shared" si="2"/>
        <v>95.01</v>
      </c>
      <c r="H10" s="91">
        <f t="shared" si="0"/>
        <v>119.46</v>
      </c>
    </row>
    <row r="11" spans="1:8" ht="19.5" customHeight="1">
      <c r="A11" s="92" t="s">
        <v>650</v>
      </c>
      <c r="B11" s="90">
        <v>51129</v>
      </c>
      <c r="C11" s="90">
        <v>44327</v>
      </c>
      <c r="D11" s="90">
        <v>44248</v>
      </c>
      <c r="E11" s="222">
        <v>43962</v>
      </c>
      <c r="F11" s="91">
        <f t="shared" si="1"/>
        <v>86.7</v>
      </c>
      <c r="G11" s="91">
        <f t="shared" si="2"/>
        <v>99.82</v>
      </c>
      <c r="H11" s="91">
        <f t="shared" si="0"/>
        <v>100.65</v>
      </c>
    </row>
    <row r="12" spans="1:8" ht="19.5" customHeight="1">
      <c r="A12" s="92" t="s">
        <v>651</v>
      </c>
      <c r="B12" s="90">
        <v>39100</v>
      </c>
      <c r="C12" s="90">
        <v>30667</v>
      </c>
      <c r="D12" s="90">
        <v>41354</v>
      </c>
      <c r="E12" s="222">
        <v>35859</v>
      </c>
      <c r="F12" s="91">
        <f t="shared" si="1"/>
        <v>78.43</v>
      </c>
      <c r="G12" s="91">
        <f t="shared" si="2"/>
        <v>134.85</v>
      </c>
      <c r="H12" s="91">
        <f t="shared" si="0"/>
        <v>115.32</v>
      </c>
    </row>
    <row r="13" spans="1:8" ht="19.5" customHeight="1">
      <c r="A13" s="92" t="s">
        <v>652</v>
      </c>
      <c r="B13" s="90">
        <v>17486</v>
      </c>
      <c r="C13" s="90">
        <v>22329</v>
      </c>
      <c r="D13" s="90">
        <v>20764</v>
      </c>
      <c r="E13" s="222">
        <v>15146</v>
      </c>
      <c r="F13" s="91">
        <f t="shared" si="1"/>
        <v>127.7</v>
      </c>
      <c r="G13" s="91">
        <f t="shared" si="2"/>
        <v>92.99</v>
      </c>
      <c r="H13" s="91">
        <f t="shared" si="0"/>
        <v>137.09</v>
      </c>
    </row>
    <row r="14" spans="1:8" ht="19.5" customHeight="1">
      <c r="A14" s="92" t="s">
        <v>653</v>
      </c>
      <c r="B14" s="90">
        <v>12760</v>
      </c>
      <c r="C14" s="90">
        <v>9497</v>
      </c>
      <c r="D14" s="90">
        <v>11888</v>
      </c>
      <c r="E14" s="222">
        <v>10774</v>
      </c>
      <c r="F14" s="91">
        <f t="shared" si="1"/>
        <v>74.43</v>
      </c>
      <c r="G14" s="91">
        <f t="shared" si="2"/>
        <v>125.18</v>
      </c>
      <c r="H14" s="91">
        <f t="shared" si="0"/>
        <v>110.34</v>
      </c>
    </row>
    <row r="15" spans="1:8" ht="19.5" customHeight="1">
      <c r="A15" s="92" t="s">
        <v>654</v>
      </c>
      <c r="B15" s="90">
        <v>30410</v>
      </c>
      <c r="C15" s="90">
        <v>34376</v>
      </c>
      <c r="D15" s="90">
        <v>30105</v>
      </c>
      <c r="E15" s="222">
        <v>28654</v>
      </c>
      <c r="F15" s="91">
        <f t="shared" si="1"/>
        <v>113.04</v>
      </c>
      <c r="G15" s="91">
        <f t="shared" si="2"/>
        <v>87.58</v>
      </c>
      <c r="H15" s="91">
        <f t="shared" si="0"/>
        <v>105.06</v>
      </c>
    </row>
    <row r="16" spans="1:8" ht="19.5" customHeight="1">
      <c r="A16" s="92" t="s">
        <v>655</v>
      </c>
      <c r="B16" s="90">
        <v>6742</v>
      </c>
      <c r="C16" s="90">
        <v>5964</v>
      </c>
      <c r="D16" s="90">
        <v>6177</v>
      </c>
      <c r="E16" s="222">
        <v>5785</v>
      </c>
      <c r="F16" s="91">
        <f t="shared" si="1"/>
        <v>88.46</v>
      </c>
      <c r="G16" s="91">
        <f t="shared" si="2"/>
        <v>103.57</v>
      </c>
      <c r="H16" s="91">
        <f t="shared" si="0"/>
        <v>106.78</v>
      </c>
    </row>
    <row r="17" spans="1:8" ht="19.5" customHeight="1">
      <c r="A17" s="92" t="s">
        <v>656</v>
      </c>
      <c r="B17" s="90">
        <v>3420</v>
      </c>
      <c r="C17" s="90">
        <v>6227</v>
      </c>
      <c r="D17" s="90">
        <v>4710</v>
      </c>
      <c r="E17" s="222">
        <v>3565</v>
      </c>
      <c r="F17" s="91">
        <f t="shared" si="1"/>
        <v>182.08</v>
      </c>
      <c r="G17" s="91">
        <f t="shared" si="2"/>
        <v>75.64</v>
      </c>
      <c r="H17" s="91">
        <f t="shared" si="0"/>
        <v>132.12</v>
      </c>
    </row>
    <row r="18" spans="1:8" ht="19.5" customHeight="1">
      <c r="A18" s="92" t="s">
        <v>657</v>
      </c>
      <c r="B18" s="90">
        <v>141685</v>
      </c>
      <c r="C18" s="90">
        <v>96842</v>
      </c>
      <c r="D18" s="90">
        <v>93959</v>
      </c>
      <c r="E18" s="222">
        <v>113786</v>
      </c>
      <c r="F18" s="91">
        <f t="shared" si="1"/>
        <v>68.35</v>
      </c>
      <c r="G18" s="91">
        <f t="shared" si="2"/>
        <v>97.02</v>
      </c>
      <c r="H18" s="91">
        <f t="shared" si="0"/>
        <v>82.58</v>
      </c>
    </row>
    <row r="19" spans="1:8" ht="19.5" customHeight="1">
      <c r="A19" s="93" t="s">
        <v>658</v>
      </c>
      <c r="B19" s="90">
        <f>B20+B30+B31+B32+B33+B34</f>
        <v>458700</v>
      </c>
      <c r="C19" s="90">
        <f>C20+C30+C31+C32+C33+C34</f>
        <v>317618</v>
      </c>
      <c r="D19" s="90">
        <f>D20+D30+D31+D32+D33+D34</f>
        <v>324885</v>
      </c>
      <c r="E19" s="90">
        <f>E20+E30+E31+E32+E33+E34</f>
        <v>447353</v>
      </c>
      <c r="F19" s="91">
        <f t="shared" si="1"/>
        <v>69.24</v>
      </c>
      <c r="G19" s="91">
        <f t="shared" si="2"/>
        <v>102.29</v>
      </c>
      <c r="H19" s="91">
        <f t="shared" si="0"/>
        <v>72.62</v>
      </c>
    </row>
    <row r="20" spans="1:8" ht="19.5" customHeight="1">
      <c r="A20" s="92" t="s">
        <v>659</v>
      </c>
      <c r="B20" s="90">
        <f>SUM(B21:B29)</f>
        <v>61559</v>
      </c>
      <c r="C20" s="90">
        <f>SUM(C21:C29)</f>
        <v>70577</v>
      </c>
      <c r="D20" s="90">
        <f>SUM(D21:D29)</f>
        <v>71080</v>
      </c>
      <c r="E20" s="140">
        <f>SUM(E21:E29)</f>
        <v>40897</v>
      </c>
      <c r="F20" s="91">
        <f t="shared" si="1"/>
        <v>114.65</v>
      </c>
      <c r="G20" s="91">
        <f t="shared" si="2"/>
        <v>100.71</v>
      </c>
      <c r="H20" s="91">
        <f t="shared" si="0"/>
        <v>173.8</v>
      </c>
    </row>
    <row r="21" spans="1:8" ht="19.5" customHeight="1">
      <c r="A21" s="94" t="s">
        <v>660</v>
      </c>
      <c r="B21" s="90">
        <v>1000</v>
      </c>
      <c r="C21" s="90"/>
      <c r="D21" s="90"/>
      <c r="E21" s="222">
        <v>826</v>
      </c>
      <c r="F21" s="91">
        <f t="shared" si="1"/>
        <v>0</v>
      </c>
      <c r="G21" s="91">
        <f t="shared" si="2"/>
        <v>0</v>
      </c>
      <c r="H21" s="91">
        <f t="shared" si="0"/>
        <v>0</v>
      </c>
    </row>
    <row r="22" spans="1:8" ht="19.5" customHeight="1">
      <c r="A22" s="94" t="s">
        <v>661</v>
      </c>
      <c r="B22" s="90">
        <v>21693</v>
      </c>
      <c r="C22" s="90">
        <v>18880</v>
      </c>
      <c r="D22" s="90">
        <v>18828</v>
      </c>
      <c r="E22" s="224">
        <v>18753</v>
      </c>
      <c r="F22" s="91">
        <f t="shared" si="1"/>
        <v>87.03</v>
      </c>
      <c r="G22" s="91">
        <f t="shared" si="2"/>
        <v>99.72</v>
      </c>
      <c r="H22" s="91">
        <f t="shared" si="0"/>
        <v>100.4</v>
      </c>
    </row>
    <row r="23" spans="1:8" ht="19.5" customHeight="1">
      <c r="A23" s="94" t="s">
        <v>662</v>
      </c>
      <c r="B23" s="90">
        <v>13834</v>
      </c>
      <c r="C23" s="90">
        <v>12585</v>
      </c>
      <c r="D23" s="90">
        <v>12552</v>
      </c>
      <c r="E23" s="224">
        <v>12509</v>
      </c>
      <c r="F23" s="91">
        <f t="shared" si="1"/>
        <v>90.97</v>
      </c>
      <c r="G23" s="91">
        <f t="shared" si="2"/>
        <v>99.74</v>
      </c>
      <c r="H23" s="91">
        <f t="shared" si="0"/>
        <v>100.34</v>
      </c>
    </row>
    <row r="24" spans="1:8" ht="19.5" customHeight="1">
      <c r="A24" s="94" t="s">
        <v>663</v>
      </c>
      <c r="B24" s="90">
        <v>41</v>
      </c>
      <c r="C24" s="90">
        <v>8757</v>
      </c>
      <c r="D24" s="90">
        <v>8923</v>
      </c>
      <c r="E24" s="224">
        <v>6326</v>
      </c>
      <c r="F24" s="91">
        <f t="shared" si="1"/>
        <v>21358.54</v>
      </c>
      <c r="G24" s="91">
        <f t="shared" si="2"/>
        <v>101.9</v>
      </c>
      <c r="H24" s="91">
        <f t="shared" si="0"/>
        <v>141.05</v>
      </c>
    </row>
    <row r="25" spans="1:8" ht="19.5" customHeight="1">
      <c r="A25" s="94" t="s">
        <v>664</v>
      </c>
      <c r="B25" s="90">
        <v>8905</v>
      </c>
      <c r="C25" s="90">
        <v>10806</v>
      </c>
      <c r="D25" s="90">
        <v>10958</v>
      </c>
      <c r="E25" s="224">
        <v>872</v>
      </c>
      <c r="F25" s="91">
        <f t="shared" si="1"/>
        <v>121.35</v>
      </c>
      <c r="G25" s="91">
        <f t="shared" si="2"/>
        <v>101.41</v>
      </c>
      <c r="H25" s="91">
        <f t="shared" si="0"/>
        <v>1256.65</v>
      </c>
    </row>
    <row r="26" spans="1:8" ht="19.5" customHeight="1">
      <c r="A26" s="94" t="s">
        <v>665</v>
      </c>
      <c r="B26" s="90">
        <f>8905.16*0.8-0.13</f>
        <v>7124</v>
      </c>
      <c r="C26" s="90">
        <v>8731</v>
      </c>
      <c r="D26" s="90">
        <v>8767</v>
      </c>
      <c r="E26" s="224">
        <v>698</v>
      </c>
      <c r="F26" s="91">
        <f t="shared" si="1"/>
        <v>122.56</v>
      </c>
      <c r="G26" s="91">
        <f t="shared" si="2"/>
        <v>100.41</v>
      </c>
      <c r="H26" s="91">
        <f t="shared" si="0"/>
        <v>1256.02</v>
      </c>
    </row>
    <row r="27" spans="1:8" ht="19.5" customHeight="1">
      <c r="A27" s="94" t="s">
        <v>666</v>
      </c>
      <c r="B27" s="90">
        <v>8905</v>
      </c>
      <c r="C27" s="90">
        <v>10806</v>
      </c>
      <c r="D27" s="90"/>
      <c r="E27" s="224">
        <v>1</v>
      </c>
      <c r="F27" s="91">
        <f t="shared" si="1"/>
        <v>121.35</v>
      </c>
      <c r="G27" s="91">
        <f t="shared" si="2"/>
        <v>0</v>
      </c>
      <c r="H27" s="91">
        <f t="shared" si="0"/>
        <v>0</v>
      </c>
    </row>
    <row r="28" spans="1:8" ht="19.5" customHeight="1">
      <c r="A28" s="94" t="s">
        <v>667</v>
      </c>
      <c r="B28" s="90">
        <v>1</v>
      </c>
      <c r="C28" s="90">
        <v>0</v>
      </c>
      <c r="D28" s="90">
        <v>94</v>
      </c>
      <c r="E28" s="224">
        <v>40</v>
      </c>
      <c r="F28" s="91">
        <f t="shared" si="1"/>
        <v>0</v>
      </c>
      <c r="G28" s="91"/>
      <c r="H28" s="91">
        <f t="shared" si="0"/>
        <v>235</v>
      </c>
    </row>
    <row r="29" spans="1:8" ht="19.5" customHeight="1">
      <c r="A29" s="94" t="s">
        <v>668</v>
      </c>
      <c r="B29" s="90">
        <v>56</v>
      </c>
      <c r="C29" s="90">
        <v>12</v>
      </c>
      <c r="D29" s="90">
        <v>10958</v>
      </c>
      <c r="E29" s="224">
        <v>872</v>
      </c>
      <c r="F29" s="91">
        <f t="shared" si="1"/>
        <v>21.43</v>
      </c>
      <c r="G29" s="91">
        <f t="shared" si="2"/>
        <v>91316.67</v>
      </c>
      <c r="H29" s="91">
        <f t="shared" si="0"/>
        <v>1256.65</v>
      </c>
    </row>
    <row r="30" spans="1:8" ht="19.5" customHeight="1">
      <c r="A30" s="92" t="s">
        <v>669</v>
      </c>
      <c r="B30" s="90">
        <v>22315</v>
      </c>
      <c r="C30" s="90">
        <v>8867</v>
      </c>
      <c r="D30" s="90">
        <v>10128</v>
      </c>
      <c r="E30" s="224">
        <v>19862</v>
      </c>
      <c r="F30" s="91">
        <f t="shared" si="1"/>
        <v>39.74</v>
      </c>
      <c r="G30" s="91">
        <f t="shared" si="2"/>
        <v>114.22</v>
      </c>
      <c r="H30" s="91">
        <f t="shared" si="0"/>
        <v>50.99</v>
      </c>
    </row>
    <row r="31" spans="1:8" ht="19.5" customHeight="1">
      <c r="A31" s="92" t="s">
        <v>670</v>
      </c>
      <c r="B31" s="90">
        <v>2759</v>
      </c>
      <c r="C31" s="90">
        <v>4870</v>
      </c>
      <c r="D31" s="90">
        <v>5088</v>
      </c>
      <c r="E31" s="222">
        <v>2610</v>
      </c>
      <c r="F31" s="91">
        <f t="shared" si="1"/>
        <v>176.51</v>
      </c>
      <c r="G31" s="91">
        <f t="shared" si="2"/>
        <v>104.48</v>
      </c>
      <c r="H31" s="91">
        <f t="shared" si="0"/>
        <v>194.94</v>
      </c>
    </row>
    <row r="32" spans="1:8" ht="19.5" customHeight="1">
      <c r="A32" s="92" t="s">
        <v>671</v>
      </c>
      <c r="B32" s="90">
        <v>1000</v>
      </c>
      <c r="C32" s="90">
        <v>5300</v>
      </c>
      <c r="D32" s="90">
        <v>5300</v>
      </c>
      <c r="E32" s="222">
        <v>15465</v>
      </c>
      <c r="F32" s="91">
        <f t="shared" si="1"/>
        <v>530</v>
      </c>
      <c r="G32" s="91">
        <f t="shared" si="2"/>
        <v>100</v>
      </c>
      <c r="H32" s="91">
        <f t="shared" si="0"/>
        <v>34.27</v>
      </c>
    </row>
    <row r="33" spans="1:8" ht="19.5" customHeight="1">
      <c r="A33" s="92" t="s">
        <v>672</v>
      </c>
      <c r="B33" s="90">
        <v>181388</v>
      </c>
      <c r="C33" s="90">
        <v>37172</v>
      </c>
      <c r="D33" s="90">
        <v>36823</v>
      </c>
      <c r="E33" s="222">
        <v>201837</v>
      </c>
      <c r="F33" s="91">
        <f t="shared" si="1"/>
        <v>20.49</v>
      </c>
      <c r="G33" s="91">
        <f t="shared" si="2"/>
        <v>99.06</v>
      </c>
      <c r="H33" s="91">
        <f t="shared" si="0"/>
        <v>18.24</v>
      </c>
    </row>
    <row r="34" spans="1:8" ht="19.5" customHeight="1">
      <c r="A34" s="92" t="s">
        <v>673</v>
      </c>
      <c r="B34" s="90">
        <v>189679</v>
      </c>
      <c r="C34" s="90">
        <v>190832</v>
      </c>
      <c r="D34" s="90">
        <v>196466</v>
      </c>
      <c r="E34" s="222">
        <v>166682</v>
      </c>
      <c r="F34" s="91">
        <f t="shared" si="1"/>
        <v>100.61</v>
      </c>
      <c r="G34" s="91">
        <f t="shared" si="2"/>
        <v>102.95</v>
      </c>
      <c r="H34" s="91">
        <f t="shared" si="0"/>
        <v>117.87</v>
      </c>
    </row>
    <row r="35" spans="1:8" ht="19.5" customHeight="1">
      <c r="A35" s="89" t="s">
        <v>644</v>
      </c>
      <c r="B35" s="90">
        <f>SUM(B5)</f>
        <v>1041987</v>
      </c>
      <c r="C35" s="90">
        <f>SUM(C5)</f>
        <v>800000</v>
      </c>
      <c r="D35" s="90">
        <f>SUM(D5)</f>
        <v>802847</v>
      </c>
      <c r="E35" s="90">
        <f>SUM(E5)</f>
        <v>914005</v>
      </c>
      <c r="F35" s="91">
        <f t="shared" si="1"/>
        <v>76.78</v>
      </c>
      <c r="G35" s="91">
        <f t="shared" si="2"/>
        <v>100.36</v>
      </c>
      <c r="H35" s="91">
        <f t="shared" si="0"/>
        <v>87.84</v>
      </c>
    </row>
    <row r="36" spans="1:8" ht="19.5" customHeight="1">
      <c r="A36" s="95" t="s">
        <v>674</v>
      </c>
      <c r="B36" s="90">
        <f>6911+575+11389+5413+11+6472</f>
        <v>30771</v>
      </c>
      <c r="C36" s="90">
        <f>6911+575+11389+5413+11+6472</f>
        <v>30771</v>
      </c>
      <c r="D36" s="90">
        <v>38178</v>
      </c>
      <c r="E36" s="90">
        <f>108562-58258</f>
        <v>50304</v>
      </c>
      <c r="F36" s="91">
        <f t="shared" si="1"/>
        <v>100</v>
      </c>
      <c r="G36" s="91">
        <f t="shared" si="2"/>
        <v>124.07</v>
      </c>
      <c r="H36" s="91">
        <f t="shared" si="0"/>
        <v>75.89</v>
      </c>
    </row>
    <row r="37" spans="1:8" ht="19.5" customHeight="1">
      <c r="A37" s="96" t="s">
        <v>675</v>
      </c>
      <c r="B37" s="90">
        <v>4952</v>
      </c>
      <c r="C37" s="90">
        <f>60270.8646-410.055+534.5+168+3386-45</f>
        <v>63904</v>
      </c>
      <c r="D37" s="90">
        <v>101715</v>
      </c>
      <c r="E37" s="90">
        <v>58258</v>
      </c>
      <c r="F37" s="91">
        <f t="shared" si="1"/>
        <v>1290.47</v>
      </c>
      <c r="G37" s="91">
        <f t="shared" si="2"/>
        <v>159.17</v>
      </c>
      <c r="H37" s="91">
        <f t="shared" si="0"/>
        <v>174.59</v>
      </c>
    </row>
    <row r="38" spans="1:8" ht="19.5" customHeight="1">
      <c r="A38" s="96" t="s">
        <v>676</v>
      </c>
      <c r="B38" s="90">
        <v>64487</v>
      </c>
      <c r="C38" s="90">
        <v>69234</v>
      </c>
      <c r="D38" s="90">
        <v>69234</v>
      </c>
      <c r="E38" s="90">
        <v>73972</v>
      </c>
      <c r="F38" s="91">
        <f t="shared" si="1"/>
        <v>107.36</v>
      </c>
      <c r="G38" s="91">
        <f t="shared" si="2"/>
        <v>100</v>
      </c>
      <c r="H38" s="91">
        <f t="shared" si="0"/>
        <v>93.59</v>
      </c>
    </row>
    <row r="39" spans="1:8" ht="19.5" customHeight="1">
      <c r="A39" s="96" t="s">
        <v>77</v>
      </c>
      <c r="B39" s="90">
        <v>27228</v>
      </c>
      <c r="C39" s="90">
        <v>27228</v>
      </c>
      <c r="D39" s="90">
        <v>27228</v>
      </c>
      <c r="E39" s="90">
        <v>0</v>
      </c>
      <c r="F39" s="91">
        <f t="shared" si="1"/>
        <v>100</v>
      </c>
      <c r="G39" s="91">
        <f t="shared" si="2"/>
        <v>100</v>
      </c>
      <c r="H39" s="91">
        <f t="shared" si="0"/>
        <v>0</v>
      </c>
    </row>
    <row r="40" spans="1:8" ht="19.5" customHeight="1">
      <c r="A40" s="96" t="s">
        <v>677</v>
      </c>
      <c r="B40" s="90">
        <f>155524-81008</f>
        <v>74516</v>
      </c>
      <c r="C40" s="90">
        <f>SUM(C41:C47)</f>
        <v>102787</v>
      </c>
      <c r="D40" s="90">
        <f>SUM(D41:D47)</f>
        <v>102787</v>
      </c>
      <c r="E40" s="90">
        <f>SUM(E41:E46)</f>
        <v>80417</v>
      </c>
      <c r="F40" s="91">
        <f t="shared" si="1"/>
        <v>137.94</v>
      </c>
      <c r="G40" s="91">
        <f t="shared" si="2"/>
        <v>100</v>
      </c>
      <c r="H40" s="91">
        <f t="shared" si="0"/>
        <v>127.82</v>
      </c>
    </row>
    <row r="41" spans="1:8" ht="19.5" customHeight="1">
      <c r="A41" s="97" t="s">
        <v>678</v>
      </c>
      <c r="B41" s="90"/>
      <c r="C41" s="90">
        <v>2069.434986</v>
      </c>
      <c r="D41" s="90">
        <v>2069.434986</v>
      </c>
      <c r="E41" s="90">
        <v>40403</v>
      </c>
      <c r="F41" s="91">
        <f t="shared" si="1"/>
        <v>0</v>
      </c>
      <c r="G41" s="91">
        <f t="shared" si="2"/>
        <v>100</v>
      </c>
      <c r="H41" s="91">
        <f t="shared" si="0"/>
        <v>5.12</v>
      </c>
    </row>
    <row r="42" spans="1:8" ht="19.5" customHeight="1">
      <c r="A42" s="210" t="s">
        <v>1090</v>
      </c>
      <c r="B42" s="90"/>
      <c r="C42" s="90">
        <v>14489.614</v>
      </c>
      <c r="D42" s="90">
        <v>14489.614</v>
      </c>
      <c r="E42" s="90">
        <v>30049</v>
      </c>
      <c r="F42" s="91">
        <f t="shared" si="1"/>
        <v>0</v>
      </c>
      <c r="G42" s="91">
        <f t="shared" si="2"/>
        <v>100</v>
      </c>
      <c r="H42" s="91">
        <f t="shared" si="0"/>
        <v>48.22</v>
      </c>
    </row>
    <row r="43" spans="1:8" ht="19.5" customHeight="1">
      <c r="A43" s="97" t="s">
        <v>679</v>
      </c>
      <c r="B43" s="90"/>
      <c r="C43" s="90">
        <v>35597</v>
      </c>
      <c r="D43" s="90">
        <v>35597</v>
      </c>
      <c r="E43" s="90">
        <f>35597-35597</f>
        <v>0</v>
      </c>
      <c r="F43" s="91">
        <f t="shared" si="1"/>
        <v>0</v>
      </c>
      <c r="G43" s="91">
        <f t="shared" si="2"/>
        <v>100</v>
      </c>
      <c r="H43" s="91">
        <f t="shared" si="0"/>
        <v>0</v>
      </c>
    </row>
    <row r="44" spans="1:8" ht="19.5" customHeight="1">
      <c r="A44" s="97" t="s">
        <v>680</v>
      </c>
      <c r="B44" s="90"/>
      <c r="C44" s="90">
        <v>20528.4429</v>
      </c>
      <c r="D44" s="90">
        <v>20528.4429</v>
      </c>
      <c r="E44" s="90">
        <v>9965</v>
      </c>
      <c r="F44" s="91">
        <f t="shared" si="1"/>
        <v>0</v>
      </c>
      <c r="G44" s="91">
        <f t="shared" si="2"/>
        <v>100</v>
      </c>
      <c r="H44" s="91">
        <f t="shared" si="0"/>
        <v>206.01</v>
      </c>
    </row>
    <row r="45" spans="1:8" ht="19.5" customHeight="1">
      <c r="A45" s="210" t="s">
        <v>1167</v>
      </c>
      <c r="B45" s="90"/>
      <c r="C45" s="90">
        <v>3900.912781</v>
      </c>
      <c r="D45" s="90">
        <v>3900.912781</v>
      </c>
      <c r="E45" s="90"/>
      <c r="F45" s="91">
        <f t="shared" si="1"/>
        <v>0</v>
      </c>
      <c r="G45" s="91">
        <f t="shared" si="2"/>
        <v>100</v>
      </c>
      <c r="H45" s="91">
        <f t="shared" si="0"/>
        <v>0</v>
      </c>
    </row>
    <row r="46" spans="1:8" ht="19.5" customHeight="1">
      <c r="A46" s="210" t="s">
        <v>1168</v>
      </c>
      <c r="B46" s="90"/>
      <c r="C46" s="90">
        <v>20660.993512</v>
      </c>
      <c r="D46" s="90">
        <v>20660.993512</v>
      </c>
      <c r="E46" s="90"/>
      <c r="F46" s="91">
        <f t="shared" si="1"/>
        <v>0</v>
      </c>
      <c r="G46" s="91">
        <f t="shared" si="2"/>
        <v>100</v>
      </c>
      <c r="H46" s="91">
        <f t="shared" si="0"/>
        <v>0</v>
      </c>
    </row>
    <row r="47" spans="1:8" ht="19.5" customHeight="1">
      <c r="A47" s="210" t="s">
        <v>1169</v>
      </c>
      <c r="B47" s="90"/>
      <c r="C47" s="90">
        <f>3833.06+1707.54</f>
        <v>5541</v>
      </c>
      <c r="D47" s="90">
        <f>3833.06+1707.54</f>
        <v>5541</v>
      </c>
      <c r="E47" s="90"/>
      <c r="F47" s="91">
        <f t="shared" si="1"/>
        <v>0</v>
      </c>
      <c r="G47" s="91">
        <f t="shared" si="2"/>
        <v>100</v>
      </c>
      <c r="H47" s="91"/>
    </row>
    <row r="48" spans="1:8" ht="19.5" customHeight="1">
      <c r="A48" s="218" t="s">
        <v>1166</v>
      </c>
      <c r="B48" s="142">
        <v>81008</v>
      </c>
      <c r="C48" s="90">
        <v>296820</v>
      </c>
      <c r="D48" s="90">
        <v>296820</v>
      </c>
      <c r="E48" s="90">
        <f>299310-161496</f>
        <v>137814</v>
      </c>
      <c r="F48" s="91">
        <f t="shared" si="1"/>
        <v>366.41</v>
      </c>
      <c r="G48" s="91">
        <f t="shared" si="2"/>
        <v>100</v>
      </c>
      <c r="H48" s="91"/>
    </row>
    <row r="49" spans="1:8" ht="19.5" customHeight="1">
      <c r="A49" s="96" t="s">
        <v>78</v>
      </c>
      <c r="B49" s="310">
        <v>27589</v>
      </c>
      <c r="C49" s="90">
        <v>43116</v>
      </c>
      <c r="D49" s="90">
        <v>39249</v>
      </c>
      <c r="E49" s="90">
        <v>34834</v>
      </c>
      <c r="F49" s="91">
        <f>IF(B49=0,0,C49/B49*100)</f>
        <v>156.28</v>
      </c>
      <c r="G49" s="91">
        <f t="shared" si="2"/>
        <v>91.03</v>
      </c>
      <c r="H49" s="91">
        <f aca="true" t="shared" si="3" ref="H49:H55">IF(E49=0,0,D49/E49*100)</f>
        <v>112.67</v>
      </c>
    </row>
    <row r="50" spans="1:8" ht="19.5" customHeight="1">
      <c r="A50" s="89" t="s">
        <v>681</v>
      </c>
      <c r="B50" s="90">
        <f>B35+B36+B37+B38+B39+B40+B48-B49</f>
        <v>1297360</v>
      </c>
      <c r="C50" s="90">
        <f>C35+C36+C37+C38+C39+C40+C48-C49</f>
        <v>1347628</v>
      </c>
      <c r="D50" s="90">
        <f>D35+D36+D37+D38+D39+D40+D48-D49</f>
        <v>1399560</v>
      </c>
      <c r="E50" s="90">
        <f>E35+E36+E37+E38+E39+E40+E48-E49</f>
        <v>1279936</v>
      </c>
      <c r="F50" s="91">
        <f t="shared" si="1"/>
        <v>103.87</v>
      </c>
      <c r="G50" s="91">
        <f t="shared" si="2"/>
        <v>103.85</v>
      </c>
      <c r="H50" s="91">
        <f t="shared" si="3"/>
        <v>109.35</v>
      </c>
    </row>
    <row r="51" spans="1:8" ht="19.5" customHeight="1">
      <c r="A51" s="89" t="s">
        <v>682</v>
      </c>
      <c r="B51" s="90"/>
      <c r="C51" s="90">
        <f>SUM(C52:C53)</f>
        <v>60000</v>
      </c>
      <c r="D51" s="90">
        <f>SUM(D52:D53)</f>
        <v>60000</v>
      </c>
      <c r="E51" s="90">
        <f>SUM(E52:E53)</f>
        <v>220470</v>
      </c>
      <c r="F51" s="91">
        <f t="shared" si="1"/>
        <v>0</v>
      </c>
      <c r="G51" s="91">
        <f t="shared" si="2"/>
        <v>100</v>
      </c>
      <c r="H51" s="91">
        <f t="shared" si="3"/>
        <v>27.21</v>
      </c>
    </row>
    <row r="52" spans="1:8" ht="19.5" customHeight="1">
      <c r="A52" s="96" t="s">
        <v>683</v>
      </c>
      <c r="B52" s="90"/>
      <c r="C52" s="90">
        <v>60000</v>
      </c>
      <c r="D52" s="90">
        <v>60000</v>
      </c>
      <c r="E52" s="90">
        <v>200000</v>
      </c>
      <c r="F52" s="91">
        <f t="shared" si="1"/>
        <v>0</v>
      </c>
      <c r="G52" s="91">
        <f t="shared" si="2"/>
        <v>100</v>
      </c>
      <c r="H52" s="91">
        <f t="shared" si="3"/>
        <v>30</v>
      </c>
    </row>
    <row r="53" spans="1:8" ht="19.5" customHeight="1">
      <c r="A53" s="96" t="s">
        <v>684</v>
      </c>
      <c r="B53" s="90"/>
      <c r="C53" s="90"/>
      <c r="D53" s="90"/>
      <c r="E53" s="90">
        <f>20300+34000+170-34000</f>
        <v>20470</v>
      </c>
      <c r="F53" s="91">
        <f>IF(B53=0,0,C53/B53*100)</f>
        <v>0</v>
      </c>
      <c r="G53" s="91">
        <f t="shared" si="2"/>
        <v>0</v>
      </c>
      <c r="H53" s="91">
        <f t="shared" si="3"/>
        <v>0</v>
      </c>
    </row>
    <row r="54" spans="1:8" ht="19.5" customHeight="1">
      <c r="A54" s="98" t="s">
        <v>516</v>
      </c>
      <c r="B54" s="90">
        <f>SUM(B50:B51)</f>
        <v>1297360</v>
      </c>
      <c r="C54" s="90">
        <f>SUM(C50:C51)</f>
        <v>1407628</v>
      </c>
      <c r="D54" s="90">
        <f>SUM(D50:D51)</f>
        <v>1459560</v>
      </c>
      <c r="E54" s="90">
        <f>SUM(E50:E51)</f>
        <v>1500406</v>
      </c>
      <c r="F54" s="91">
        <f t="shared" si="1"/>
        <v>108.5</v>
      </c>
      <c r="G54" s="91">
        <f t="shared" si="2"/>
        <v>103.69</v>
      </c>
      <c r="H54" s="91">
        <f t="shared" si="3"/>
        <v>97.28</v>
      </c>
    </row>
    <row r="55" spans="1:8" ht="19.5" customHeight="1">
      <c r="A55" s="96" t="s">
        <v>693</v>
      </c>
      <c r="B55" s="90"/>
      <c r="C55" s="90">
        <v>15511</v>
      </c>
      <c r="D55" s="90">
        <v>15511</v>
      </c>
      <c r="E55" s="90">
        <v>11513</v>
      </c>
      <c r="F55" s="91">
        <f t="shared" si="1"/>
        <v>0</v>
      </c>
      <c r="G55" s="91">
        <f t="shared" si="2"/>
        <v>100</v>
      </c>
      <c r="H55" s="91">
        <f t="shared" si="3"/>
        <v>134.73</v>
      </c>
    </row>
    <row r="56" spans="1:8" ht="19.5" customHeight="1">
      <c r="A56" s="96" t="s">
        <v>79</v>
      </c>
      <c r="B56" s="90"/>
      <c r="C56" s="90">
        <v>3023</v>
      </c>
      <c r="D56" s="90">
        <v>3023</v>
      </c>
      <c r="E56" s="90"/>
      <c r="F56" s="91"/>
      <c r="G56" s="91">
        <f t="shared" si="2"/>
        <v>100</v>
      </c>
      <c r="H56" s="91"/>
    </row>
    <row r="57" spans="1:8" ht="19.5" customHeight="1">
      <c r="A57" s="96" t="s">
        <v>692</v>
      </c>
      <c r="B57" s="90"/>
      <c r="C57" s="90">
        <v>119845</v>
      </c>
      <c r="D57" s="90">
        <v>119845</v>
      </c>
      <c r="E57" s="90">
        <v>124133</v>
      </c>
      <c r="F57" s="91"/>
      <c r="G57" s="91">
        <f t="shared" si="2"/>
        <v>100</v>
      </c>
      <c r="H57" s="91"/>
    </row>
    <row r="58" spans="1:9" ht="19.5" customHeight="1">
      <c r="A58" s="89" t="s">
        <v>685</v>
      </c>
      <c r="B58" s="90">
        <f>SUM(B54:B55)</f>
        <v>1297360</v>
      </c>
      <c r="C58" s="90">
        <f>SUM(C54:C57)</f>
        <v>1546007</v>
      </c>
      <c r="D58" s="90">
        <f>SUM(D54:D57)</f>
        <v>1597939</v>
      </c>
      <c r="E58" s="90">
        <f>SUM(E54:E57)</f>
        <v>1636052</v>
      </c>
      <c r="F58" s="91">
        <f t="shared" si="1"/>
        <v>119.17</v>
      </c>
      <c r="G58" s="91">
        <f t="shared" si="2"/>
        <v>103.36</v>
      </c>
      <c r="H58" s="91">
        <f>IF(E58=0,0,D58/E58*100)</f>
        <v>97.67</v>
      </c>
      <c r="I58" s="7"/>
    </row>
    <row r="59" spans="2:5" ht="14.25">
      <c r="B59" s="7"/>
      <c r="C59" s="7"/>
      <c r="D59" s="7"/>
      <c r="E59" s="7"/>
    </row>
  </sheetData>
  <sheetProtection/>
  <mergeCells count="1">
    <mergeCell ref="A2:H2"/>
  </mergeCells>
  <printOptions horizontalCentered="1"/>
  <pageMargins left="0.4724409448818898" right="0.3937007874015748" top="0.5118110236220472" bottom="0.5905511811023623" header="0.31496062992125984" footer="0.31496062992125984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" sqref="I1:I16384"/>
    </sheetView>
  </sheetViews>
  <sheetFormatPr defaultColWidth="9.00390625" defaultRowHeight="14.25"/>
  <cols>
    <col min="1" max="1" width="31.625" style="75" bestFit="1" customWidth="1"/>
    <col min="2" max="4" width="12.625" style="75" customWidth="1"/>
    <col min="5" max="5" width="15.625" style="75" hidden="1" customWidth="1"/>
    <col min="6" max="7" width="12.625" style="75" customWidth="1"/>
    <col min="8" max="8" width="10.125" style="75" hidden="1" customWidth="1"/>
    <col min="9" max="9" width="12.625" style="75" customWidth="1"/>
    <col min="10" max="16384" width="9.00390625" style="75" customWidth="1"/>
  </cols>
  <sheetData>
    <row r="1" spans="1:9" ht="12.75">
      <c r="A1" s="270" t="s">
        <v>37</v>
      </c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359" t="s">
        <v>1283</v>
      </c>
      <c r="B2" s="359"/>
      <c r="C2" s="359"/>
      <c r="D2" s="359"/>
      <c r="E2" s="359"/>
      <c r="F2" s="359"/>
      <c r="G2" s="359"/>
      <c r="H2" s="359"/>
      <c r="I2" s="359"/>
    </row>
    <row r="3" spans="1:9" ht="15" customHeight="1">
      <c r="A3" s="17"/>
      <c r="B3" s="18"/>
      <c r="C3" s="18"/>
      <c r="D3" s="18"/>
      <c r="E3" s="18"/>
      <c r="F3" s="18"/>
      <c r="G3" s="18"/>
      <c r="H3" s="18"/>
      <c r="I3" s="19" t="s">
        <v>688</v>
      </c>
    </row>
    <row r="4" spans="1:9" ht="39.75" customHeight="1">
      <c r="A4" s="76" t="s">
        <v>689</v>
      </c>
      <c r="B4" s="77" t="s">
        <v>690</v>
      </c>
      <c r="C4" s="77" t="s">
        <v>642</v>
      </c>
      <c r="D4" s="77" t="s">
        <v>16</v>
      </c>
      <c r="E4" s="77" t="s">
        <v>686</v>
      </c>
      <c r="F4" s="77" t="s">
        <v>643</v>
      </c>
      <c r="G4" s="77" t="s">
        <v>45</v>
      </c>
      <c r="H4" s="77" t="s">
        <v>338</v>
      </c>
      <c r="I4" s="209" t="s">
        <v>1089</v>
      </c>
    </row>
    <row r="5" spans="1:9" ht="19.5" customHeight="1">
      <c r="A5" s="127" t="s">
        <v>691</v>
      </c>
      <c r="B5" s="79">
        <f>B6+B31</f>
        <v>1297360</v>
      </c>
      <c r="C5" s="79">
        <f>C6+C31</f>
        <v>1546007</v>
      </c>
      <c r="D5" s="79">
        <f>D6+D31</f>
        <v>1068103</v>
      </c>
      <c r="E5" s="79">
        <f>E6+E31</f>
        <v>1168518</v>
      </c>
      <c r="F5" s="86">
        <f>IF(B5=0,0,D5/B5*100)</f>
        <v>82.33</v>
      </c>
      <c r="G5" s="86">
        <f>IF(C5=0,0,D5/C5*100)</f>
        <v>69.09</v>
      </c>
      <c r="H5" s="86">
        <f>IF(D5=0,0,D5/C5*100)</f>
        <v>69.09</v>
      </c>
      <c r="I5" s="128">
        <f>IF(E5=0,0,D5/E5*100)</f>
        <v>91.41</v>
      </c>
    </row>
    <row r="6" spans="1:9" ht="19.5" customHeight="1">
      <c r="A6" s="78" t="s">
        <v>17</v>
      </c>
      <c r="B6" s="79">
        <f>SUM(B7:B30)</f>
        <v>1297360</v>
      </c>
      <c r="C6" s="79">
        <f>SUM(C7:C30)</f>
        <v>1546007</v>
      </c>
      <c r="D6" s="79">
        <f>SUM(D7:D30)</f>
        <v>1068103</v>
      </c>
      <c r="E6" s="79">
        <f>SUM(E7:E30)</f>
        <v>1148048</v>
      </c>
      <c r="F6" s="80">
        <f aca="true" t="shared" si="0" ref="F6:F30">IF(B6=0,0,D6/B6*100)</f>
        <v>82.33</v>
      </c>
      <c r="G6" s="80">
        <f>IF(C6=0,0,D6/C6*100)</f>
        <v>69.09</v>
      </c>
      <c r="H6" s="86">
        <f aca="true" t="shared" si="1" ref="H6:H32">IF(D6=0,0,D6/C6*100)</f>
        <v>69.09</v>
      </c>
      <c r="I6" s="81">
        <f>IF(E6=0,0,D6/E6*100)</f>
        <v>93.04</v>
      </c>
    </row>
    <row r="7" spans="1:9" ht="19.5" customHeight="1">
      <c r="A7" s="79" t="s">
        <v>544</v>
      </c>
      <c r="B7" s="79">
        <v>55168</v>
      </c>
      <c r="C7" s="79">
        <f>66758</f>
        <v>66758</v>
      </c>
      <c r="D7" s="79">
        <v>65159</v>
      </c>
      <c r="E7" s="79">
        <v>51659</v>
      </c>
      <c r="F7" s="80">
        <f t="shared" si="0"/>
        <v>118.11</v>
      </c>
      <c r="G7" s="80">
        <f aca="true" t="shared" si="2" ref="G7:G32">IF(C7=0,0,D7/C7*100)</f>
        <v>97.6</v>
      </c>
      <c r="H7" s="86">
        <f t="shared" si="1"/>
        <v>97.6</v>
      </c>
      <c r="I7" s="81">
        <f aca="true" t="shared" si="3" ref="I7:I32">IF(E7=0,0,D7/E7*100)</f>
        <v>126.13</v>
      </c>
    </row>
    <row r="8" spans="1:9" ht="19.5" customHeight="1">
      <c r="A8" s="79" t="s">
        <v>573</v>
      </c>
      <c r="B8" s="79">
        <v>0</v>
      </c>
      <c r="C8" s="79"/>
      <c r="D8" s="79"/>
      <c r="E8" s="79">
        <v>0</v>
      </c>
      <c r="F8" s="80">
        <f t="shared" si="0"/>
        <v>0</v>
      </c>
      <c r="G8" s="80">
        <f t="shared" si="2"/>
        <v>0</v>
      </c>
      <c r="H8" s="86">
        <f t="shared" si="1"/>
        <v>0</v>
      </c>
      <c r="I8" s="81">
        <f t="shared" si="3"/>
        <v>0</v>
      </c>
    </row>
    <row r="9" spans="1:9" ht="19.5" customHeight="1">
      <c r="A9" s="79" t="s">
        <v>545</v>
      </c>
      <c r="B9" s="79">
        <v>49459</v>
      </c>
      <c r="C9" s="79">
        <v>53405</v>
      </c>
      <c r="D9" s="79">
        <v>50958</v>
      </c>
      <c r="E9" s="79">
        <v>44629</v>
      </c>
      <c r="F9" s="80">
        <f t="shared" si="0"/>
        <v>103.03</v>
      </c>
      <c r="G9" s="80">
        <f t="shared" si="2"/>
        <v>95.42</v>
      </c>
      <c r="H9" s="86">
        <f t="shared" si="1"/>
        <v>95.42</v>
      </c>
      <c r="I9" s="81">
        <f t="shared" si="3"/>
        <v>114.18</v>
      </c>
    </row>
    <row r="10" spans="1:9" ht="19.5" customHeight="1">
      <c r="A10" s="79" t="s">
        <v>546</v>
      </c>
      <c r="B10" s="79">
        <v>171117</v>
      </c>
      <c r="C10" s="79">
        <v>219532</v>
      </c>
      <c r="D10" s="79">
        <v>148231</v>
      </c>
      <c r="E10" s="79">
        <v>121081</v>
      </c>
      <c r="F10" s="80">
        <f t="shared" si="0"/>
        <v>86.63</v>
      </c>
      <c r="G10" s="80">
        <f t="shared" si="2"/>
        <v>67.52</v>
      </c>
      <c r="H10" s="86">
        <f t="shared" si="1"/>
        <v>67.52</v>
      </c>
      <c r="I10" s="81">
        <f t="shared" si="3"/>
        <v>122.42</v>
      </c>
    </row>
    <row r="11" spans="1:9" ht="19.5" customHeight="1">
      <c r="A11" s="79" t="s">
        <v>547</v>
      </c>
      <c r="B11" s="79">
        <v>32618</v>
      </c>
      <c r="C11" s="79">
        <v>28334</v>
      </c>
      <c r="D11" s="79">
        <v>18732</v>
      </c>
      <c r="E11" s="79">
        <v>25531</v>
      </c>
      <c r="F11" s="80">
        <f t="shared" si="0"/>
        <v>57.43</v>
      </c>
      <c r="G11" s="80">
        <f t="shared" si="2"/>
        <v>66.11</v>
      </c>
      <c r="H11" s="86">
        <f t="shared" si="1"/>
        <v>66.11</v>
      </c>
      <c r="I11" s="81">
        <f t="shared" si="3"/>
        <v>73.37</v>
      </c>
    </row>
    <row r="12" spans="1:9" ht="19.5" customHeight="1">
      <c r="A12" s="79" t="s">
        <v>548</v>
      </c>
      <c r="B12" s="79">
        <v>6797</v>
      </c>
      <c r="C12" s="79">
        <v>8945</v>
      </c>
      <c r="D12" s="79">
        <v>6504</v>
      </c>
      <c r="E12" s="79">
        <v>5264</v>
      </c>
      <c r="F12" s="80">
        <f t="shared" si="0"/>
        <v>95.69</v>
      </c>
      <c r="G12" s="80">
        <f t="shared" si="2"/>
        <v>72.71</v>
      </c>
      <c r="H12" s="86">
        <f t="shared" si="1"/>
        <v>72.71</v>
      </c>
      <c r="I12" s="81">
        <f t="shared" si="3"/>
        <v>123.56</v>
      </c>
    </row>
    <row r="13" spans="1:9" ht="19.5" customHeight="1">
      <c r="A13" s="79" t="s">
        <v>549</v>
      </c>
      <c r="B13" s="79">
        <v>159983</v>
      </c>
      <c r="C13" s="79">
        <v>175430</v>
      </c>
      <c r="D13" s="79">
        <v>153291</v>
      </c>
      <c r="E13" s="79">
        <v>152890</v>
      </c>
      <c r="F13" s="80">
        <f t="shared" si="0"/>
        <v>95.82</v>
      </c>
      <c r="G13" s="80">
        <f t="shared" si="2"/>
        <v>87.38</v>
      </c>
      <c r="H13" s="86">
        <f t="shared" si="1"/>
        <v>87.38</v>
      </c>
      <c r="I13" s="81">
        <f t="shared" si="3"/>
        <v>100.26</v>
      </c>
    </row>
    <row r="14" spans="1:9" ht="19.5" customHeight="1">
      <c r="A14" s="79" t="s">
        <v>550</v>
      </c>
      <c r="B14" s="79">
        <v>80064</v>
      </c>
      <c r="C14" s="79">
        <v>84280</v>
      </c>
      <c r="D14" s="79">
        <v>78042</v>
      </c>
      <c r="E14" s="79">
        <v>64022</v>
      </c>
      <c r="F14" s="80">
        <f t="shared" si="0"/>
        <v>97.47</v>
      </c>
      <c r="G14" s="80">
        <f t="shared" si="2"/>
        <v>92.6</v>
      </c>
      <c r="H14" s="86">
        <f t="shared" si="1"/>
        <v>92.6</v>
      </c>
      <c r="I14" s="81">
        <f t="shared" si="3"/>
        <v>121.9</v>
      </c>
    </row>
    <row r="15" spans="1:9" ht="19.5" customHeight="1">
      <c r="A15" s="79" t="s">
        <v>551</v>
      </c>
      <c r="B15" s="79">
        <v>24854</v>
      </c>
      <c r="C15" s="79">
        <v>45065</v>
      </c>
      <c r="D15" s="79">
        <v>33405</v>
      </c>
      <c r="E15" s="79">
        <v>17020</v>
      </c>
      <c r="F15" s="80">
        <f t="shared" si="0"/>
        <v>134.4</v>
      </c>
      <c r="G15" s="80">
        <f t="shared" si="2"/>
        <v>74.13</v>
      </c>
      <c r="H15" s="86">
        <f t="shared" si="1"/>
        <v>74.13</v>
      </c>
      <c r="I15" s="81">
        <f t="shared" si="3"/>
        <v>196.27</v>
      </c>
    </row>
    <row r="16" spans="1:9" ht="19.5" customHeight="1">
      <c r="A16" s="79" t="s">
        <v>552</v>
      </c>
      <c r="B16" s="79">
        <v>371773</v>
      </c>
      <c r="C16" s="79">
        <v>420137</v>
      </c>
      <c r="D16" s="79">
        <v>323334</v>
      </c>
      <c r="E16" s="79">
        <v>515090</v>
      </c>
      <c r="F16" s="80">
        <f t="shared" si="0"/>
        <v>86.97</v>
      </c>
      <c r="G16" s="80">
        <f t="shared" si="2"/>
        <v>76.96</v>
      </c>
      <c r="H16" s="86">
        <f t="shared" si="1"/>
        <v>76.96</v>
      </c>
      <c r="I16" s="81">
        <f t="shared" si="3"/>
        <v>62.77</v>
      </c>
    </row>
    <row r="17" spans="1:9" ht="19.5" customHeight="1">
      <c r="A17" s="79" t="s">
        <v>553</v>
      </c>
      <c r="B17" s="79">
        <v>90740</v>
      </c>
      <c r="C17" s="79">
        <v>100751</v>
      </c>
      <c r="D17" s="79">
        <v>68143</v>
      </c>
      <c r="E17" s="79">
        <v>64105</v>
      </c>
      <c r="F17" s="80">
        <f t="shared" si="0"/>
        <v>75.1</v>
      </c>
      <c r="G17" s="80">
        <f t="shared" si="2"/>
        <v>67.64</v>
      </c>
      <c r="H17" s="86">
        <f t="shared" si="1"/>
        <v>67.64</v>
      </c>
      <c r="I17" s="81">
        <f t="shared" si="3"/>
        <v>106.3</v>
      </c>
    </row>
    <row r="18" spans="1:9" ht="19.5" customHeight="1">
      <c r="A18" s="79" t="s">
        <v>554</v>
      </c>
      <c r="B18" s="79">
        <v>4215</v>
      </c>
      <c r="C18" s="79">
        <v>5388</v>
      </c>
      <c r="D18" s="79">
        <v>4755</v>
      </c>
      <c r="E18" s="79">
        <v>3605</v>
      </c>
      <c r="F18" s="80">
        <f t="shared" si="0"/>
        <v>112.81</v>
      </c>
      <c r="G18" s="80">
        <f t="shared" si="2"/>
        <v>88.25</v>
      </c>
      <c r="H18" s="86">
        <f t="shared" si="1"/>
        <v>88.25</v>
      </c>
      <c r="I18" s="81">
        <f t="shared" si="3"/>
        <v>131.9</v>
      </c>
    </row>
    <row r="19" spans="1:9" ht="19.5" customHeight="1">
      <c r="A19" s="79" t="s">
        <v>555</v>
      </c>
      <c r="B19" s="79">
        <v>100675</v>
      </c>
      <c r="C19" s="79">
        <v>112943</v>
      </c>
      <c r="D19" s="79">
        <v>75113</v>
      </c>
      <c r="E19" s="79">
        <v>63268</v>
      </c>
      <c r="F19" s="80">
        <f t="shared" si="0"/>
        <v>74.61</v>
      </c>
      <c r="G19" s="80">
        <f t="shared" si="2"/>
        <v>66.51</v>
      </c>
      <c r="H19" s="86">
        <f t="shared" si="1"/>
        <v>66.51</v>
      </c>
      <c r="I19" s="81">
        <f t="shared" si="3"/>
        <v>118.72</v>
      </c>
    </row>
    <row r="20" spans="1:9" ht="19.5" customHeight="1">
      <c r="A20" s="79" t="s">
        <v>556</v>
      </c>
      <c r="B20" s="79">
        <v>4474</v>
      </c>
      <c r="C20" s="79">
        <v>10771</v>
      </c>
      <c r="D20" s="79">
        <v>8701</v>
      </c>
      <c r="E20" s="79">
        <v>5679</v>
      </c>
      <c r="F20" s="80">
        <f t="shared" si="0"/>
        <v>194.48</v>
      </c>
      <c r="G20" s="80">
        <f t="shared" si="2"/>
        <v>80.78</v>
      </c>
      <c r="H20" s="86">
        <f t="shared" si="1"/>
        <v>80.78</v>
      </c>
      <c r="I20" s="81">
        <f t="shared" si="3"/>
        <v>153.21</v>
      </c>
    </row>
    <row r="21" spans="1:9" ht="19.5" customHeight="1">
      <c r="A21" s="79" t="s">
        <v>557</v>
      </c>
      <c r="B21" s="79">
        <v>16</v>
      </c>
      <c r="C21" s="79">
        <v>23</v>
      </c>
      <c r="D21" s="79">
        <v>23</v>
      </c>
      <c r="E21" s="79">
        <v>16</v>
      </c>
      <c r="F21" s="80">
        <f t="shared" si="0"/>
        <v>143.75</v>
      </c>
      <c r="G21" s="80">
        <f t="shared" si="2"/>
        <v>100</v>
      </c>
      <c r="H21" s="86">
        <f t="shared" si="1"/>
        <v>100</v>
      </c>
      <c r="I21" s="81">
        <f t="shared" si="3"/>
        <v>143.75</v>
      </c>
    </row>
    <row r="22" spans="1:9" ht="19.5" customHeight="1">
      <c r="A22" s="79" t="s">
        <v>558</v>
      </c>
      <c r="B22" s="79">
        <v>0</v>
      </c>
      <c r="C22" s="79">
        <v>2800</v>
      </c>
      <c r="D22" s="79">
        <v>2800</v>
      </c>
      <c r="E22" s="79">
        <v>0</v>
      </c>
      <c r="F22" s="80">
        <f t="shared" si="0"/>
        <v>0</v>
      </c>
      <c r="G22" s="80">
        <f t="shared" si="2"/>
        <v>100</v>
      </c>
      <c r="H22" s="86">
        <f t="shared" si="1"/>
        <v>100</v>
      </c>
      <c r="I22" s="81">
        <f t="shared" si="3"/>
        <v>0</v>
      </c>
    </row>
    <row r="23" spans="1:9" ht="19.5" customHeight="1">
      <c r="A23" s="79" t="s">
        <v>559</v>
      </c>
      <c r="B23" s="79">
        <v>5541</v>
      </c>
      <c r="C23" s="79">
        <v>5915</v>
      </c>
      <c r="D23" s="79">
        <v>5235</v>
      </c>
      <c r="E23" s="79">
        <v>5183</v>
      </c>
      <c r="F23" s="80">
        <f t="shared" si="0"/>
        <v>94.48</v>
      </c>
      <c r="G23" s="80">
        <f t="shared" si="2"/>
        <v>88.5</v>
      </c>
      <c r="H23" s="86">
        <f t="shared" si="1"/>
        <v>88.5</v>
      </c>
      <c r="I23" s="81">
        <f t="shared" si="3"/>
        <v>101</v>
      </c>
    </row>
    <row r="24" spans="1:9" ht="19.5" customHeight="1">
      <c r="A24" s="79" t="s">
        <v>560</v>
      </c>
      <c r="B24" s="79">
        <v>10839</v>
      </c>
      <c r="C24" s="79">
        <v>12747</v>
      </c>
      <c r="D24" s="79">
        <v>12712</v>
      </c>
      <c r="E24" s="79">
        <v>1387</v>
      </c>
      <c r="F24" s="80">
        <f t="shared" si="0"/>
        <v>117.28</v>
      </c>
      <c r="G24" s="80">
        <f t="shared" si="2"/>
        <v>99.73</v>
      </c>
      <c r="H24" s="86">
        <f t="shared" si="1"/>
        <v>99.73</v>
      </c>
      <c r="I24" s="81">
        <f t="shared" si="3"/>
        <v>916.51</v>
      </c>
    </row>
    <row r="25" spans="1:9" ht="19.5" customHeight="1">
      <c r="A25" s="79" t="s">
        <v>561</v>
      </c>
      <c r="B25" s="79">
        <v>659</v>
      </c>
      <c r="C25" s="79">
        <v>703</v>
      </c>
      <c r="D25" s="79">
        <v>701</v>
      </c>
      <c r="E25" s="79">
        <v>1065</v>
      </c>
      <c r="F25" s="80">
        <f t="shared" si="0"/>
        <v>106.37</v>
      </c>
      <c r="G25" s="80">
        <f t="shared" si="2"/>
        <v>99.72</v>
      </c>
      <c r="H25" s="86">
        <f t="shared" si="1"/>
        <v>99.72</v>
      </c>
      <c r="I25" s="81">
        <f t="shared" si="3"/>
        <v>65.82</v>
      </c>
    </row>
    <row r="26" spans="1:9" ht="19.5" customHeight="1">
      <c r="A26" s="79" t="s">
        <v>562</v>
      </c>
      <c r="B26" s="79">
        <v>13145</v>
      </c>
      <c r="C26" s="79">
        <f>11800+2185</f>
        <v>13985</v>
      </c>
      <c r="D26" s="79">
        <v>0</v>
      </c>
      <c r="E26" s="79">
        <v>0</v>
      </c>
      <c r="F26" s="80">
        <f t="shared" si="0"/>
        <v>0</v>
      </c>
      <c r="G26" s="80">
        <f t="shared" si="2"/>
        <v>0</v>
      </c>
      <c r="H26" s="86">
        <f t="shared" si="1"/>
        <v>0</v>
      </c>
      <c r="I26" s="81">
        <f t="shared" si="3"/>
        <v>0</v>
      </c>
    </row>
    <row r="27" spans="1:9" ht="19.5" customHeight="1">
      <c r="A27" s="79" t="s">
        <v>563</v>
      </c>
      <c r="B27" s="79">
        <v>102761</v>
      </c>
      <c r="C27" s="79">
        <v>167213</v>
      </c>
      <c r="D27" s="79">
        <v>1382</v>
      </c>
      <c r="E27" s="79">
        <v>485</v>
      </c>
      <c r="F27" s="80">
        <f t="shared" si="0"/>
        <v>1.34</v>
      </c>
      <c r="G27" s="80">
        <f t="shared" si="2"/>
        <v>0.83</v>
      </c>
      <c r="H27" s="86">
        <f t="shared" si="1"/>
        <v>0.83</v>
      </c>
      <c r="I27" s="81">
        <f t="shared" si="3"/>
        <v>284.95</v>
      </c>
    </row>
    <row r="28" spans="1:9" ht="19.5" customHeight="1">
      <c r="A28" s="79" t="s">
        <v>564</v>
      </c>
      <c r="B28" s="79"/>
      <c r="C28" s="79">
        <v>0</v>
      </c>
      <c r="D28" s="79">
        <v>0</v>
      </c>
      <c r="E28" s="79">
        <v>0</v>
      </c>
      <c r="F28" s="80">
        <f t="shared" si="0"/>
        <v>0</v>
      </c>
      <c r="G28" s="80">
        <f t="shared" si="2"/>
        <v>0</v>
      </c>
      <c r="H28" s="86">
        <f t="shared" si="1"/>
        <v>0</v>
      </c>
      <c r="I28" s="81">
        <f t="shared" si="3"/>
        <v>0</v>
      </c>
    </row>
    <row r="29" spans="1:9" ht="19.5" customHeight="1">
      <c r="A29" s="79" t="s">
        <v>565</v>
      </c>
      <c r="B29" s="79">
        <v>12462</v>
      </c>
      <c r="C29" s="79">
        <v>10822</v>
      </c>
      <c r="D29" s="79">
        <v>10822</v>
      </c>
      <c r="E29" s="79">
        <v>5859</v>
      </c>
      <c r="F29" s="80">
        <f t="shared" si="0"/>
        <v>86.84</v>
      </c>
      <c r="G29" s="80">
        <f t="shared" si="2"/>
        <v>100</v>
      </c>
      <c r="H29" s="86">
        <f t="shared" si="1"/>
        <v>100</v>
      </c>
      <c r="I29" s="81">
        <f t="shared" si="3"/>
        <v>184.71</v>
      </c>
    </row>
    <row r="30" spans="1:9" ht="19.5" customHeight="1">
      <c r="A30" s="79" t="s">
        <v>18</v>
      </c>
      <c r="B30" s="79">
        <v>0</v>
      </c>
      <c r="C30" s="79">
        <v>60</v>
      </c>
      <c r="D30" s="79">
        <v>60</v>
      </c>
      <c r="E30" s="79">
        <v>210</v>
      </c>
      <c r="F30" s="80">
        <f t="shared" si="0"/>
        <v>0</v>
      </c>
      <c r="G30" s="80">
        <f t="shared" si="2"/>
        <v>100</v>
      </c>
      <c r="H30" s="86">
        <f t="shared" si="1"/>
        <v>100</v>
      </c>
      <c r="I30" s="81">
        <f t="shared" si="3"/>
        <v>28.57</v>
      </c>
    </row>
    <row r="31" spans="1:9" ht="19.5" customHeight="1">
      <c r="A31" s="78" t="s">
        <v>19</v>
      </c>
      <c r="B31" s="79">
        <f>B32</f>
        <v>0</v>
      </c>
      <c r="C31" s="79">
        <f>C32</f>
        <v>0</v>
      </c>
      <c r="D31" s="79">
        <f>D32</f>
        <v>0</v>
      </c>
      <c r="E31" s="79">
        <f>E32</f>
        <v>20470</v>
      </c>
      <c r="F31" s="80">
        <f>IF(B31=0,0,#REF!/B31*100)</f>
        <v>0</v>
      </c>
      <c r="G31" s="80">
        <f t="shared" si="2"/>
        <v>0</v>
      </c>
      <c r="H31" s="86">
        <f t="shared" si="1"/>
        <v>0</v>
      </c>
      <c r="I31" s="81">
        <f t="shared" si="3"/>
        <v>0</v>
      </c>
    </row>
    <row r="32" spans="1:9" ht="19.5" customHeight="1">
      <c r="A32" s="79" t="s">
        <v>566</v>
      </c>
      <c r="B32" s="79">
        <v>0</v>
      </c>
      <c r="C32" s="79"/>
      <c r="D32" s="79"/>
      <c r="E32" s="82">
        <v>20470</v>
      </c>
      <c r="F32" s="80">
        <f>IF(B32=0,0,#REF!/B32*100)</f>
        <v>0</v>
      </c>
      <c r="G32" s="80">
        <f t="shared" si="2"/>
        <v>0</v>
      </c>
      <c r="H32" s="86">
        <f t="shared" si="1"/>
        <v>0</v>
      </c>
      <c r="I32" s="81">
        <f t="shared" si="3"/>
        <v>0</v>
      </c>
    </row>
  </sheetData>
  <sheetProtection/>
  <mergeCells count="1">
    <mergeCell ref="A2:I2"/>
  </mergeCells>
  <printOptions horizontalCentered="1"/>
  <pageMargins left="0.7480314960629921" right="0.7480314960629921" top="0.6692913385826772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0"/>
  <sheetViews>
    <sheetView zoomScalePageLayoutView="0"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69"/>
    </sheetView>
  </sheetViews>
  <sheetFormatPr defaultColWidth="9.00390625" defaultRowHeight="14.25" customHeight="1"/>
  <cols>
    <col min="1" max="1" width="33.50390625" style="183" customWidth="1"/>
    <col min="2" max="3" width="12.625" style="186" customWidth="1"/>
    <col min="4" max="4" width="11.625" style="186" hidden="1" customWidth="1"/>
    <col min="5" max="5" width="12.625" style="186" customWidth="1"/>
    <col min="6" max="6" width="12.875" style="183" hidden="1" customWidth="1"/>
    <col min="7" max="9" width="12.625" style="183" customWidth="1"/>
    <col min="10" max="11" width="9.00390625" style="183" customWidth="1"/>
    <col min="12" max="12" width="11.00390625" style="183" bestFit="1" customWidth="1"/>
    <col min="13" max="16384" width="9.00390625" style="183" customWidth="1"/>
  </cols>
  <sheetData>
    <row r="1" ht="14.25" customHeight="1">
      <c r="A1" s="317" t="s">
        <v>38</v>
      </c>
    </row>
    <row r="2" spans="1:9" ht="18" customHeight="1">
      <c r="A2" s="360" t="s">
        <v>1284</v>
      </c>
      <c r="B2" s="360"/>
      <c r="C2" s="360"/>
      <c r="D2" s="360"/>
      <c r="E2" s="360"/>
      <c r="F2" s="360"/>
      <c r="G2" s="360"/>
      <c r="H2" s="360"/>
      <c r="I2" s="360"/>
    </row>
    <row r="3" spans="1:9" ht="12.75">
      <c r="A3" s="318"/>
      <c r="E3" s="187"/>
      <c r="I3" s="184" t="s">
        <v>519</v>
      </c>
    </row>
    <row r="4" spans="1:9" s="319" customFormat="1" ht="16.5" customHeight="1">
      <c r="A4" s="361" t="s">
        <v>689</v>
      </c>
      <c r="B4" s="361" t="s">
        <v>575</v>
      </c>
      <c r="C4" s="361" t="s">
        <v>642</v>
      </c>
      <c r="D4" s="361" t="s">
        <v>574</v>
      </c>
      <c r="E4" s="362" t="s">
        <v>14</v>
      </c>
      <c r="F4" s="361" t="s">
        <v>81</v>
      </c>
      <c r="G4" s="361" t="s">
        <v>576</v>
      </c>
      <c r="H4" s="361" t="s">
        <v>338</v>
      </c>
      <c r="I4" s="362" t="s">
        <v>1047</v>
      </c>
    </row>
    <row r="5" spans="1:9" s="319" customFormat="1" ht="16.5" customHeight="1">
      <c r="A5" s="361"/>
      <c r="B5" s="361"/>
      <c r="C5" s="361"/>
      <c r="D5" s="361"/>
      <c r="E5" s="361"/>
      <c r="F5" s="361"/>
      <c r="G5" s="361"/>
      <c r="H5" s="361"/>
      <c r="I5" s="361"/>
    </row>
    <row r="6" spans="1:9" ht="19.5" customHeight="1">
      <c r="A6" s="320" t="s">
        <v>691</v>
      </c>
      <c r="B6" s="157">
        <f>B7+B67</f>
        <v>1167848</v>
      </c>
      <c r="C6" s="157">
        <f>C7+C67</f>
        <v>1301108</v>
      </c>
      <c r="D6" s="157">
        <f>D7+D67</f>
        <v>1361687</v>
      </c>
      <c r="E6" s="157">
        <f>E7+E67</f>
        <v>987972</v>
      </c>
      <c r="F6" s="157">
        <f>F7+F67</f>
        <v>1088030</v>
      </c>
      <c r="G6" s="185">
        <f>IF(B6=0,0,E6/B6*100)</f>
        <v>84.6</v>
      </c>
      <c r="H6" s="185">
        <f>IF(E6=0,0,E6/C6*100)</f>
        <v>75.93</v>
      </c>
      <c r="I6" s="185">
        <f>IF(E6=0,0,E6/F6*100)</f>
        <v>90.8</v>
      </c>
    </row>
    <row r="7" spans="1:9" ht="19.5" customHeight="1">
      <c r="A7" s="321" t="s">
        <v>568</v>
      </c>
      <c r="B7" s="157">
        <f>SUM(B8,B25,B48,B64)</f>
        <v>1167848</v>
      </c>
      <c r="C7" s="157">
        <f>SUM(C8,C25,C48,C64)</f>
        <v>1301108</v>
      </c>
      <c r="D7" s="157">
        <f>SUM(D8,D25,D48,D64)</f>
        <v>1361687</v>
      </c>
      <c r="E7" s="157">
        <f>E8+E25+E48+E64</f>
        <v>987972</v>
      </c>
      <c r="F7" s="157">
        <f>F8+F25+F48+F64-1</f>
        <v>1067560</v>
      </c>
      <c r="G7" s="185">
        <f aca="true" t="shared" si="0" ref="G7:G69">IF(B7=0,0,E7/B7*100)</f>
        <v>84.6</v>
      </c>
      <c r="H7" s="185">
        <f aca="true" t="shared" si="1" ref="H7:H69">IF(E7=0,0,E7/C7*100)</f>
        <v>75.93</v>
      </c>
      <c r="I7" s="185">
        <f aca="true" t="shared" si="2" ref="I7:I69">IF(E7=0,0,E7/F7*100)</f>
        <v>92.54</v>
      </c>
    </row>
    <row r="8" spans="1:9" ht="19.5" customHeight="1">
      <c r="A8" s="321" t="s">
        <v>577</v>
      </c>
      <c r="B8" s="157">
        <f>SUM(B9:B24)</f>
        <v>224134</v>
      </c>
      <c r="C8" s="158">
        <f>C9+C10+C11+C12+C13+C14+C15+C16+C17+C18+C19+C20+C21+C22+C23+C24+1</f>
        <v>242637</v>
      </c>
      <c r="D8" s="158">
        <f>SUM(D9:D24)</f>
        <v>242637</v>
      </c>
      <c r="E8" s="157">
        <f>SUM(E9:E24)</f>
        <v>234439</v>
      </c>
      <c r="F8" s="157">
        <f>SUM(F9:F24)</f>
        <v>205105</v>
      </c>
      <c r="G8" s="185">
        <f t="shared" si="0"/>
        <v>104.6</v>
      </c>
      <c r="H8" s="185">
        <f t="shared" si="1"/>
        <v>96.62</v>
      </c>
      <c r="I8" s="185">
        <f t="shared" si="2"/>
        <v>114.3</v>
      </c>
    </row>
    <row r="9" spans="1:9" ht="19.5" customHeight="1">
      <c r="A9" s="189" t="s">
        <v>578</v>
      </c>
      <c r="B9" s="159">
        <v>20141</v>
      </c>
      <c r="C9" s="159">
        <v>24923</v>
      </c>
      <c r="D9" s="157">
        <v>24897</v>
      </c>
      <c r="E9" s="157">
        <v>24895</v>
      </c>
      <c r="F9" s="157">
        <v>23169</v>
      </c>
      <c r="G9" s="185">
        <f t="shared" si="0"/>
        <v>123.6</v>
      </c>
      <c r="H9" s="185">
        <f t="shared" si="1"/>
        <v>99.89</v>
      </c>
      <c r="I9" s="185">
        <f t="shared" si="2"/>
        <v>107.45</v>
      </c>
    </row>
    <row r="10" spans="1:9" ht="19.5" customHeight="1">
      <c r="A10" s="189" t="s">
        <v>579</v>
      </c>
      <c r="B10" s="159">
        <v>33402</v>
      </c>
      <c r="C10" s="159">
        <v>37112</v>
      </c>
      <c r="D10" s="157">
        <v>37063</v>
      </c>
      <c r="E10" s="157">
        <v>37062</v>
      </c>
      <c r="F10" s="157">
        <v>38926</v>
      </c>
      <c r="G10" s="185">
        <f t="shared" si="0"/>
        <v>110.96</v>
      </c>
      <c r="H10" s="185">
        <f t="shared" si="1"/>
        <v>99.87</v>
      </c>
      <c r="I10" s="185">
        <f t="shared" si="2"/>
        <v>95.21</v>
      </c>
    </row>
    <row r="11" spans="1:9" ht="19.5" customHeight="1">
      <c r="A11" s="189" t="s">
        <v>580</v>
      </c>
      <c r="B11" s="159">
        <v>93941</v>
      </c>
      <c r="C11" s="159">
        <v>110395</v>
      </c>
      <c r="D11" s="157">
        <v>111943</v>
      </c>
      <c r="E11" s="157">
        <v>111876</v>
      </c>
      <c r="F11" s="157">
        <v>88983</v>
      </c>
      <c r="G11" s="185">
        <f t="shared" si="0"/>
        <v>119.09</v>
      </c>
      <c r="H11" s="185">
        <f t="shared" si="1"/>
        <v>101.34</v>
      </c>
      <c r="I11" s="185">
        <f t="shared" si="2"/>
        <v>125.73</v>
      </c>
    </row>
    <row r="12" spans="1:9" ht="19.5" customHeight="1">
      <c r="A12" s="189" t="s">
        <v>581</v>
      </c>
      <c r="B12" s="159">
        <v>526</v>
      </c>
      <c r="C12" s="159">
        <v>663</v>
      </c>
      <c r="D12" s="157">
        <v>662</v>
      </c>
      <c r="E12" s="157">
        <v>662</v>
      </c>
      <c r="F12" s="157">
        <v>556</v>
      </c>
      <c r="G12" s="185">
        <f t="shared" si="0"/>
        <v>125.86</v>
      </c>
      <c r="H12" s="185">
        <f t="shared" si="1"/>
        <v>99.85</v>
      </c>
      <c r="I12" s="185">
        <f t="shared" si="2"/>
        <v>119.06</v>
      </c>
    </row>
    <row r="13" spans="1:9" ht="19.5" customHeight="1">
      <c r="A13" s="189" t="s">
        <v>582</v>
      </c>
      <c r="B13" s="159">
        <v>2921</v>
      </c>
      <c r="C13" s="159">
        <v>3562</v>
      </c>
      <c r="D13" s="157">
        <v>3566</v>
      </c>
      <c r="E13" s="157">
        <v>3566</v>
      </c>
      <c r="F13" s="157">
        <v>3329</v>
      </c>
      <c r="G13" s="185">
        <f t="shared" si="0"/>
        <v>122.08</v>
      </c>
      <c r="H13" s="185">
        <f t="shared" si="1"/>
        <v>100.11</v>
      </c>
      <c r="I13" s="185">
        <f t="shared" si="2"/>
        <v>107.12</v>
      </c>
    </row>
    <row r="14" spans="1:9" ht="19.5" customHeight="1">
      <c r="A14" s="189" t="s">
        <v>583</v>
      </c>
      <c r="B14" s="159">
        <v>2937</v>
      </c>
      <c r="C14" s="159">
        <v>3626</v>
      </c>
      <c r="D14" s="157">
        <v>3650</v>
      </c>
      <c r="E14" s="157">
        <v>3650</v>
      </c>
      <c r="F14" s="157">
        <v>3269</v>
      </c>
      <c r="G14" s="185">
        <f t="shared" si="0"/>
        <v>124.28</v>
      </c>
      <c r="H14" s="185">
        <f t="shared" si="1"/>
        <v>100.66</v>
      </c>
      <c r="I14" s="185">
        <f t="shared" si="2"/>
        <v>111.65</v>
      </c>
    </row>
    <row r="15" spans="1:9" ht="19.5" customHeight="1">
      <c r="A15" s="189" t="s">
        <v>584</v>
      </c>
      <c r="B15" s="159">
        <v>23762</v>
      </c>
      <c r="C15" s="159">
        <v>27747</v>
      </c>
      <c r="D15" s="157">
        <v>28469</v>
      </c>
      <c r="E15" s="157">
        <v>28464</v>
      </c>
      <c r="F15" s="157">
        <v>23255</v>
      </c>
      <c r="G15" s="185">
        <f t="shared" si="0"/>
        <v>119.79</v>
      </c>
      <c r="H15" s="185">
        <f t="shared" si="1"/>
        <v>102.58</v>
      </c>
      <c r="I15" s="185">
        <f t="shared" si="2"/>
        <v>122.4</v>
      </c>
    </row>
    <row r="16" spans="1:9" ht="19.5" customHeight="1">
      <c r="A16" s="189" t="s">
        <v>585</v>
      </c>
      <c r="B16" s="159">
        <v>1194</v>
      </c>
      <c r="C16" s="159">
        <v>1405</v>
      </c>
      <c r="D16" s="157">
        <v>1403</v>
      </c>
      <c r="E16" s="157">
        <v>1403</v>
      </c>
      <c r="F16" s="157">
        <v>1215</v>
      </c>
      <c r="G16" s="185">
        <f t="shared" si="0"/>
        <v>117.5</v>
      </c>
      <c r="H16" s="185">
        <f t="shared" si="1"/>
        <v>99.86</v>
      </c>
      <c r="I16" s="185">
        <f t="shared" si="2"/>
        <v>115.47</v>
      </c>
    </row>
    <row r="17" spans="1:9" ht="19.5" customHeight="1">
      <c r="A17" s="189" t="s">
        <v>586</v>
      </c>
      <c r="B17" s="159">
        <v>7289</v>
      </c>
      <c r="C17" s="159">
        <v>9122</v>
      </c>
      <c r="D17" s="157">
        <v>9114</v>
      </c>
      <c r="E17" s="157">
        <v>9114</v>
      </c>
      <c r="F17" s="157">
        <v>9868</v>
      </c>
      <c r="G17" s="185">
        <f t="shared" si="0"/>
        <v>125.04</v>
      </c>
      <c r="H17" s="185">
        <f t="shared" si="1"/>
        <v>99.91</v>
      </c>
      <c r="I17" s="185">
        <f t="shared" si="2"/>
        <v>92.36</v>
      </c>
    </row>
    <row r="18" spans="1:9" ht="19.5" customHeight="1">
      <c r="A18" s="189" t="s">
        <v>587</v>
      </c>
      <c r="B18" s="159">
        <v>7040</v>
      </c>
      <c r="C18" s="159">
        <v>8203</v>
      </c>
      <c r="D18" s="157">
        <v>8216</v>
      </c>
      <c r="E18" s="157">
        <v>8214</v>
      </c>
      <c r="F18" s="157">
        <v>7627</v>
      </c>
      <c r="G18" s="185">
        <f t="shared" si="0"/>
        <v>116.68</v>
      </c>
      <c r="H18" s="185">
        <f t="shared" si="1"/>
        <v>100.13</v>
      </c>
      <c r="I18" s="185">
        <f t="shared" si="2"/>
        <v>107.7</v>
      </c>
    </row>
    <row r="19" spans="1:9" ht="19.5" customHeight="1">
      <c r="A19" s="189" t="s">
        <v>588</v>
      </c>
      <c r="B19" s="159">
        <v>514</v>
      </c>
      <c r="C19" s="159">
        <v>648</v>
      </c>
      <c r="D19" s="157">
        <v>645</v>
      </c>
      <c r="E19" s="157">
        <v>645</v>
      </c>
      <c r="F19" s="157">
        <v>746</v>
      </c>
      <c r="G19" s="185">
        <f t="shared" si="0"/>
        <v>125.49</v>
      </c>
      <c r="H19" s="185">
        <f t="shared" si="1"/>
        <v>99.54</v>
      </c>
      <c r="I19" s="185">
        <f t="shared" si="2"/>
        <v>86.46</v>
      </c>
    </row>
    <row r="20" spans="1:9" ht="19.5" customHeight="1">
      <c r="A20" s="189" t="s">
        <v>589</v>
      </c>
      <c r="B20" s="159">
        <v>1594</v>
      </c>
      <c r="C20" s="159">
        <v>2041</v>
      </c>
      <c r="D20" s="157">
        <v>2027</v>
      </c>
      <c r="E20" s="157">
        <v>2027</v>
      </c>
      <c r="F20" s="157">
        <v>1672</v>
      </c>
      <c r="G20" s="185">
        <f t="shared" si="0"/>
        <v>127.16</v>
      </c>
      <c r="H20" s="185">
        <f t="shared" si="1"/>
        <v>99.31</v>
      </c>
      <c r="I20" s="185">
        <f t="shared" si="2"/>
        <v>121.23</v>
      </c>
    </row>
    <row r="21" spans="1:9" ht="19.5" customHeight="1">
      <c r="A21" s="189" t="s">
        <v>590</v>
      </c>
      <c r="B21" s="159">
        <v>329</v>
      </c>
      <c r="C21" s="159">
        <v>386</v>
      </c>
      <c r="D21" s="157">
        <v>390</v>
      </c>
      <c r="E21" s="157">
        <v>388</v>
      </c>
      <c r="F21" s="157">
        <v>365</v>
      </c>
      <c r="G21" s="185">
        <f t="shared" si="0"/>
        <v>117.93</v>
      </c>
      <c r="H21" s="185">
        <f t="shared" si="1"/>
        <v>100.52</v>
      </c>
      <c r="I21" s="185">
        <f t="shared" si="2"/>
        <v>106.3</v>
      </c>
    </row>
    <row r="22" spans="1:9" ht="19.5" customHeight="1">
      <c r="A22" s="189" t="s">
        <v>591</v>
      </c>
      <c r="B22" s="159">
        <v>1750</v>
      </c>
      <c r="C22" s="159">
        <v>2236</v>
      </c>
      <c r="D22" s="157">
        <v>2233</v>
      </c>
      <c r="E22" s="157">
        <v>2233</v>
      </c>
      <c r="F22" s="157">
        <v>1831</v>
      </c>
      <c r="G22" s="185">
        <f t="shared" si="0"/>
        <v>127.6</v>
      </c>
      <c r="H22" s="185">
        <f t="shared" si="1"/>
        <v>99.87</v>
      </c>
      <c r="I22" s="185">
        <f t="shared" si="2"/>
        <v>121.96</v>
      </c>
    </row>
    <row r="23" spans="1:9" ht="19.5" customHeight="1">
      <c r="A23" s="189" t="s">
        <v>592</v>
      </c>
      <c r="B23" s="159">
        <v>197</v>
      </c>
      <c r="C23" s="159">
        <v>240</v>
      </c>
      <c r="D23" s="157">
        <v>240</v>
      </c>
      <c r="E23" s="157">
        <v>240</v>
      </c>
      <c r="F23" s="157">
        <f>294</f>
        <v>294</v>
      </c>
      <c r="G23" s="185">
        <f t="shared" si="0"/>
        <v>121.83</v>
      </c>
      <c r="H23" s="185">
        <f t="shared" si="1"/>
        <v>100</v>
      </c>
      <c r="I23" s="185">
        <f t="shared" si="2"/>
        <v>81.63</v>
      </c>
    </row>
    <row r="24" spans="1:9" ht="19.5" customHeight="1">
      <c r="A24" s="189" t="s">
        <v>593</v>
      </c>
      <c r="B24" s="159">
        <v>26597</v>
      </c>
      <c r="C24" s="159">
        <v>10327</v>
      </c>
      <c r="D24" s="157">
        <v>8119</v>
      </c>
      <c r="E24" s="157"/>
      <c r="F24" s="157">
        <v>0</v>
      </c>
      <c r="G24" s="185">
        <f t="shared" si="0"/>
        <v>0</v>
      </c>
      <c r="H24" s="185">
        <f t="shared" si="1"/>
        <v>0</v>
      </c>
      <c r="I24" s="185">
        <f t="shared" si="2"/>
        <v>0</v>
      </c>
    </row>
    <row r="25" spans="1:9" ht="19.5" customHeight="1">
      <c r="A25" s="321" t="s">
        <v>594</v>
      </c>
      <c r="B25" s="157">
        <f>SUM(B26:B47)</f>
        <v>831590</v>
      </c>
      <c r="C25" s="157">
        <f>SUM(C26:C47)</f>
        <v>937867</v>
      </c>
      <c r="D25" s="157">
        <f>SUM(D26:D47)</f>
        <v>1020272</v>
      </c>
      <c r="E25" s="157">
        <f>SUM(E26:E47)</f>
        <v>691978</v>
      </c>
      <c r="F25" s="157">
        <f>SUM(F26:F47)</f>
        <v>804237</v>
      </c>
      <c r="G25" s="185">
        <f t="shared" si="0"/>
        <v>83.21</v>
      </c>
      <c r="H25" s="185">
        <f t="shared" si="1"/>
        <v>73.78</v>
      </c>
      <c r="I25" s="185">
        <f t="shared" si="2"/>
        <v>86.04</v>
      </c>
    </row>
    <row r="26" spans="1:11" ht="19.5" customHeight="1">
      <c r="A26" s="189" t="s">
        <v>578</v>
      </c>
      <c r="B26" s="160">
        <f>19475-1</f>
        <v>19474</v>
      </c>
      <c r="C26" s="322">
        <v>19998</v>
      </c>
      <c r="D26" s="157">
        <v>20034</v>
      </c>
      <c r="E26" s="163">
        <v>19110</v>
      </c>
      <c r="F26" s="188">
        <v>11797</v>
      </c>
      <c r="G26" s="185">
        <f t="shared" si="0"/>
        <v>98.13</v>
      </c>
      <c r="H26" s="185">
        <f t="shared" si="1"/>
        <v>95.56</v>
      </c>
      <c r="I26" s="185">
        <f t="shared" si="2"/>
        <v>161.99</v>
      </c>
      <c r="K26" s="323"/>
    </row>
    <row r="27" spans="1:11" ht="19.5" customHeight="1">
      <c r="A27" s="189" t="s">
        <v>579</v>
      </c>
      <c r="B27" s="160">
        <v>14489</v>
      </c>
      <c r="C27" s="322">
        <v>14998</v>
      </c>
      <c r="D27" s="157">
        <v>14998</v>
      </c>
      <c r="E27" s="163">
        <v>12785</v>
      </c>
      <c r="F27" s="188">
        <v>4488</v>
      </c>
      <c r="G27" s="185">
        <f t="shared" si="0"/>
        <v>88.24</v>
      </c>
      <c r="H27" s="185">
        <f t="shared" si="1"/>
        <v>85.24</v>
      </c>
      <c r="I27" s="185">
        <f t="shared" si="2"/>
        <v>284.87</v>
      </c>
      <c r="K27" s="323"/>
    </row>
    <row r="28" spans="1:11" ht="19.5" customHeight="1">
      <c r="A28" s="324" t="s">
        <v>965</v>
      </c>
      <c r="B28" s="160">
        <f>75703+1</f>
        <v>75704</v>
      </c>
      <c r="C28" s="322">
        <f>105231.413227+3386</f>
        <v>108617</v>
      </c>
      <c r="D28" s="157">
        <v>111318</v>
      </c>
      <c r="E28" s="163">
        <v>35933</v>
      </c>
      <c r="F28" s="188">
        <v>31539</v>
      </c>
      <c r="G28" s="185">
        <f t="shared" si="0"/>
        <v>47.47</v>
      </c>
      <c r="H28" s="185">
        <f t="shared" si="1"/>
        <v>33.08</v>
      </c>
      <c r="I28" s="185">
        <f t="shared" si="2"/>
        <v>113.93</v>
      </c>
      <c r="K28" s="323"/>
    </row>
    <row r="29" spans="1:11" ht="19.5" customHeight="1">
      <c r="A29" s="324" t="s">
        <v>966</v>
      </c>
      <c r="B29" s="160">
        <v>32020</v>
      </c>
      <c r="C29" s="322">
        <v>27580</v>
      </c>
      <c r="D29" s="157">
        <v>30082</v>
      </c>
      <c r="E29" s="163">
        <v>17987</v>
      </c>
      <c r="F29" s="188">
        <v>24832</v>
      </c>
      <c r="G29" s="185">
        <f t="shared" si="0"/>
        <v>56.17</v>
      </c>
      <c r="H29" s="185">
        <f t="shared" si="1"/>
        <v>65.22</v>
      </c>
      <c r="I29" s="185">
        <f t="shared" si="2"/>
        <v>72.43</v>
      </c>
      <c r="K29" s="323"/>
    </row>
    <row r="30" spans="1:11" ht="19.5" customHeight="1">
      <c r="A30" s="189" t="s">
        <v>582</v>
      </c>
      <c r="B30" s="160">
        <f>2717-1</f>
        <v>2716</v>
      </c>
      <c r="C30" s="322">
        <v>4141</v>
      </c>
      <c r="D30" s="157">
        <v>4141</v>
      </c>
      <c r="E30" s="163">
        <v>2030</v>
      </c>
      <c r="F30" s="188">
        <v>1251</v>
      </c>
      <c r="G30" s="185">
        <f t="shared" si="0"/>
        <v>74.74</v>
      </c>
      <c r="H30" s="185">
        <f t="shared" si="1"/>
        <v>49.02</v>
      </c>
      <c r="I30" s="185">
        <f t="shared" si="2"/>
        <v>162.27</v>
      </c>
      <c r="K30" s="323"/>
    </row>
    <row r="31" spans="1:11" ht="19.5" customHeight="1">
      <c r="A31" s="189" t="s">
        <v>583</v>
      </c>
      <c r="B31" s="160">
        <v>133487</v>
      </c>
      <c r="C31" s="322">
        <f>147442.031079+534.5</f>
        <v>147977</v>
      </c>
      <c r="D31" s="157">
        <v>152870</v>
      </c>
      <c r="E31" s="163">
        <v>133375</v>
      </c>
      <c r="F31" s="188">
        <v>128666</v>
      </c>
      <c r="G31" s="185">
        <f t="shared" si="0"/>
        <v>99.92</v>
      </c>
      <c r="H31" s="185">
        <f t="shared" si="1"/>
        <v>90.13</v>
      </c>
      <c r="I31" s="185">
        <f t="shared" si="2"/>
        <v>103.66</v>
      </c>
      <c r="K31" s="323"/>
    </row>
    <row r="32" spans="1:11" ht="19.5" customHeight="1">
      <c r="A32" s="189" t="s">
        <v>584</v>
      </c>
      <c r="B32" s="160">
        <f>44540-1</f>
        <v>44539</v>
      </c>
      <c r="C32" s="322">
        <f>43793.6256-45</f>
        <v>43749</v>
      </c>
      <c r="D32" s="157">
        <v>43774</v>
      </c>
      <c r="E32" s="163">
        <v>37434</v>
      </c>
      <c r="F32" s="188">
        <v>29166</v>
      </c>
      <c r="G32" s="185">
        <f t="shared" si="0"/>
        <v>84.05</v>
      </c>
      <c r="H32" s="185">
        <f t="shared" si="1"/>
        <v>85.57</v>
      </c>
      <c r="I32" s="185">
        <f t="shared" si="2"/>
        <v>128.35</v>
      </c>
      <c r="K32" s="323"/>
    </row>
    <row r="33" spans="1:11" ht="19.5" customHeight="1">
      <c r="A33" s="189" t="s">
        <v>585</v>
      </c>
      <c r="B33" s="160">
        <v>16321</v>
      </c>
      <c r="C33" s="322">
        <f>33132.48496+168</f>
        <v>33300</v>
      </c>
      <c r="D33" s="157">
        <f>39026+1</f>
        <v>39027</v>
      </c>
      <c r="E33" s="163">
        <v>24069</v>
      </c>
      <c r="F33" s="188">
        <v>12900</v>
      </c>
      <c r="G33" s="185">
        <f t="shared" si="0"/>
        <v>147.47</v>
      </c>
      <c r="H33" s="185">
        <f t="shared" si="1"/>
        <v>72.28</v>
      </c>
      <c r="I33" s="185">
        <f t="shared" si="2"/>
        <v>186.58</v>
      </c>
      <c r="K33" s="323"/>
    </row>
    <row r="34" spans="1:11" ht="19.5" customHeight="1">
      <c r="A34" s="189" t="s">
        <v>586</v>
      </c>
      <c r="B34" s="160">
        <f>344576-1</f>
        <v>344575</v>
      </c>
      <c r="C34" s="322">
        <v>383221</v>
      </c>
      <c r="D34" s="157">
        <v>404396</v>
      </c>
      <c r="E34" s="163">
        <v>294588</v>
      </c>
      <c r="F34" s="188">
        <v>478804</v>
      </c>
      <c r="G34" s="185">
        <f t="shared" si="0"/>
        <v>85.49</v>
      </c>
      <c r="H34" s="185">
        <f t="shared" si="1"/>
        <v>76.87</v>
      </c>
      <c r="I34" s="185">
        <f t="shared" si="2"/>
        <v>61.53</v>
      </c>
      <c r="K34" s="323"/>
    </row>
    <row r="35" spans="1:11" ht="19.5" customHeight="1">
      <c r="A35" s="189" t="s">
        <v>587</v>
      </c>
      <c r="B35" s="160">
        <v>70399</v>
      </c>
      <c r="C35" s="322">
        <f>78925+1</f>
        <v>78926</v>
      </c>
      <c r="D35" s="157">
        <f>79485-829.4+829.4</f>
        <v>79485</v>
      </c>
      <c r="E35" s="163">
        <v>52202</v>
      </c>
      <c r="F35" s="188">
        <v>46127</v>
      </c>
      <c r="G35" s="185">
        <f t="shared" si="0"/>
        <v>74.15</v>
      </c>
      <c r="H35" s="185">
        <f t="shared" si="1"/>
        <v>66.14</v>
      </c>
      <c r="I35" s="185">
        <f t="shared" si="2"/>
        <v>113.17</v>
      </c>
      <c r="K35" s="323"/>
    </row>
    <row r="36" spans="1:11" ht="19.5" customHeight="1">
      <c r="A36" s="189" t="s">
        <v>588</v>
      </c>
      <c r="B36" s="160">
        <f>3339+1</f>
        <v>3340</v>
      </c>
      <c r="C36" s="322">
        <v>4296</v>
      </c>
      <c r="D36" s="157">
        <v>4296</v>
      </c>
      <c r="E36" s="163">
        <v>3773</v>
      </c>
      <c r="F36" s="188">
        <v>2754</v>
      </c>
      <c r="G36" s="185">
        <f t="shared" si="0"/>
        <v>112.96</v>
      </c>
      <c r="H36" s="185">
        <f t="shared" si="1"/>
        <v>87.83</v>
      </c>
      <c r="I36" s="185">
        <f t="shared" si="2"/>
        <v>137</v>
      </c>
      <c r="K36" s="323"/>
    </row>
    <row r="37" spans="1:11" ht="19.5" customHeight="1">
      <c r="A37" s="189" t="s">
        <v>589</v>
      </c>
      <c r="B37" s="160">
        <v>6479</v>
      </c>
      <c r="C37" s="322">
        <v>11334</v>
      </c>
      <c r="D37" s="157">
        <v>20817</v>
      </c>
      <c r="E37" s="163">
        <v>12937</v>
      </c>
      <c r="F37" s="188">
        <v>8779</v>
      </c>
      <c r="G37" s="185">
        <f t="shared" si="0"/>
        <v>199.68</v>
      </c>
      <c r="H37" s="185">
        <f t="shared" si="1"/>
        <v>114.14</v>
      </c>
      <c r="I37" s="185">
        <f t="shared" si="2"/>
        <v>147.36</v>
      </c>
      <c r="K37" s="323"/>
    </row>
    <row r="38" spans="1:11" ht="19.5" customHeight="1">
      <c r="A38" s="189" t="s">
        <v>590</v>
      </c>
      <c r="B38" s="160">
        <v>4145</v>
      </c>
      <c r="C38" s="322">
        <v>10384</v>
      </c>
      <c r="D38" s="157">
        <v>10976</v>
      </c>
      <c r="E38" s="163">
        <v>8316</v>
      </c>
      <c r="F38" s="188">
        <v>4981</v>
      </c>
      <c r="G38" s="185">
        <f t="shared" si="0"/>
        <v>200.63</v>
      </c>
      <c r="H38" s="185">
        <f t="shared" si="1"/>
        <v>80.08</v>
      </c>
      <c r="I38" s="185">
        <f t="shared" si="2"/>
        <v>166.95</v>
      </c>
      <c r="K38" s="323"/>
    </row>
    <row r="39" spans="1:9" ht="19.5" customHeight="1">
      <c r="A39" s="189" t="s">
        <v>595</v>
      </c>
      <c r="B39" s="162">
        <v>16</v>
      </c>
      <c r="C39" s="322">
        <v>23</v>
      </c>
      <c r="D39" s="157">
        <v>23</v>
      </c>
      <c r="E39" s="163">
        <v>23</v>
      </c>
      <c r="F39" s="188">
        <v>16</v>
      </c>
      <c r="G39" s="185">
        <f t="shared" si="0"/>
        <v>143.75</v>
      </c>
      <c r="H39" s="185">
        <f t="shared" si="1"/>
        <v>100</v>
      </c>
      <c r="I39" s="185">
        <f t="shared" si="2"/>
        <v>143.75</v>
      </c>
    </row>
    <row r="40" spans="1:11" ht="19.5" customHeight="1">
      <c r="A40" s="324" t="s">
        <v>483</v>
      </c>
      <c r="B40" s="162"/>
      <c r="C40" s="322">
        <v>2800</v>
      </c>
      <c r="D40" s="157">
        <v>2800</v>
      </c>
      <c r="E40" s="163">
        <v>2800</v>
      </c>
      <c r="F40" s="163"/>
      <c r="G40" s="185">
        <f t="shared" si="0"/>
        <v>0</v>
      </c>
      <c r="H40" s="185">
        <f t="shared" si="1"/>
        <v>100</v>
      </c>
      <c r="I40" s="185"/>
      <c r="K40" s="323"/>
    </row>
    <row r="41" spans="1:11" ht="19.5" customHeight="1">
      <c r="A41" s="189" t="s">
        <v>591</v>
      </c>
      <c r="B41" s="160">
        <f>3310+1</f>
        <v>3311</v>
      </c>
      <c r="C41" s="322">
        <v>3082</v>
      </c>
      <c r="D41" s="157">
        <v>5687</v>
      </c>
      <c r="E41" s="163">
        <v>2428</v>
      </c>
      <c r="F41" s="188">
        <v>3153</v>
      </c>
      <c r="G41" s="185">
        <f t="shared" si="0"/>
        <v>73.33</v>
      </c>
      <c r="H41" s="185">
        <f t="shared" si="1"/>
        <v>78.78</v>
      </c>
      <c r="I41" s="185">
        <f t="shared" si="2"/>
        <v>77.01</v>
      </c>
      <c r="K41" s="323"/>
    </row>
    <row r="42" spans="1:11" ht="19.5" customHeight="1">
      <c r="A42" s="189" t="s">
        <v>596</v>
      </c>
      <c r="B42" s="160">
        <v>10819</v>
      </c>
      <c r="C42" s="322">
        <v>12727</v>
      </c>
      <c r="D42" s="157">
        <v>13317</v>
      </c>
      <c r="E42" s="163">
        <v>12692</v>
      </c>
      <c r="F42" s="188">
        <v>1366.81</v>
      </c>
      <c r="G42" s="185">
        <f t="shared" si="0"/>
        <v>117.31</v>
      </c>
      <c r="H42" s="185">
        <f t="shared" si="1"/>
        <v>99.72</v>
      </c>
      <c r="I42" s="185">
        <f t="shared" si="2"/>
        <v>928.59</v>
      </c>
      <c r="K42" s="323"/>
    </row>
    <row r="43" spans="1:9" ht="19.5" customHeight="1">
      <c r="A43" s="189" t="s">
        <v>592</v>
      </c>
      <c r="B43" s="160">
        <v>462</v>
      </c>
      <c r="C43" s="322">
        <v>462</v>
      </c>
      <c r="D43" s="157">
        <v>462</v>
      </c>
      <c r="E43" s="163">
        <v>460</v>
      </c>
      <c r="F43" s="188">
        <v>771</v>
      </c>
      <c r="G43" s="185">
        <f t="shared" si="0"/>
        <v>99.57</v>
      </c>
      <c r="H43" s="185">
        <f t="shared" si="1"/>
        <v>99.57</v>
      </c>
      <c r="I43" s="185">
        <f t="shared" si="2"/>
        <v>59.66</v>
      </c>
    </row>
    <row r="44" spans="1:11" ht="19.5" customHeight="1">
      <c r="A44" s="189" t="s">
        <v>593</v>
      </c>
      <c r="B44" s="160">
        <f>37831-1000+1</f>
        <v>36832</v>
      </c>
      <c r="C44" s="325">
        <v>19370</v>
      </c>
      <c r="D44" s="157">
        <v>50887</v>
      </c>
      <c r="E44" s="163">
        <v>8154</v>
      </c>
      <c r="F44" s="188">
        <v>6777</v>
      </c>
      <c r="G44" s="185">
        <f t="shared" si="0"/>
        <v>22.14</v>
      </c>
      <c r="H44" s="185">
        <f t="shared" si="1"/>
        <v>42.1</v>
      </c>
      <c r="I44" s="185">
        <f t="shared" si="2"/>
        <v>120.32</v>
      </c>
      <c r="K44" s="323"/>
    </row>
    <row r="45" spans="1:11" ht="19.5" customHeight="1">
      <c r="A45" s="189" t="s">
        <v>597</v>
      </c>
      <c r="B45" s="162"/>
      <c r="C45" s="322"/>
      <c r="D45" s="157"/>
      <c r="E45" s="163"/>
      <c r="F45" s="188"/>
      <c r="G45" s="185">
        <f t="shared" si="0"/>
        <v>0</v>
      </c>
      <c r="H45" s="185">
        <f t="shared" si="1"/>
        <v>0</v>
      </c>
      <c r="I45" s="185">
        <f>IF(F45=0,0,E45/F45*100)</f>
        <v>0</v>
      </c>
      <c r="K45" s="323"/>
    </row>
    <row r="46" spans="1:11" ht="19.5" customHeight="1">
      <c r="A46" s="189" t="s">
        <v>598</v>
      </c>
      <c r="B46" s="160">
        <v>12462</v>
      </c>
      <c r="C46" s="322">
        <v>10822</v>
      </c>
      <c r="D46" s="157">
        <v>10822</v>
      </c>
      <c r="E46" s="163">
        <v>10822</v>
      </c>
      <c r="F46" s="188">
        <v>5858.56</v>
      </c>
      <c r="G46" s="185">
        <f t="shared" si="0"/>
        <v>86.84</v>
      </c>
      <c r="H46" s="185">
        <f t="shared" si="1"/>
        <v>100</v>
      </c>
      <c r="I46" s="185">
        <f t="shared" si="2"/>
        <v>184.72</v>
      </c>
      <c r="K46" s="323"/>
    </row>
    <row r="47" spans="1:9" ht="19.5" customHeight="1">
      <c r="A47" s="189" t="s">
        <v>599</v>
      </c>
      <c r="B47" s="162"/>
      <c r="C47" s="322">
        <v>60</v>
      </c>
      <c r="D47" s="157">
        <v>60</v>
      </c>
      <c r="E47" s="163">
        <v>60</v>
      </c>
      <c r="F47" s="188">
        <v>210.235</v>
      </c>
      <c r="G47" s="185">
        <f>IF(B47=0,0,E47/B47*100)</f>
        <v>0</v>
      </c>
      <c r="H47" s="185">
        <f>IF(E47=0,0,E47/C47*100)</f>
        <v>100</v>
      </c>
      <c r="I47" s="185">
        <f>IF(E47=0,0,E47/F47*100)</f>
        <v>28.54</v>
      </c>
    </row>
    <row r="48" spans="1:9" ht="19.5" customHeight="1">
      <c r="A48" s="321" t="s">
        <v>1172</v>
      </c>
      <c r="B48" s="157">
        <f>SUM(B49:B63)</f>
        <v>99324</v>
      </c>
      <c r="C48" s="157">
        <f>SUM(C49:C63)</f>
        <v>107804</v>
      </c>
      <c r="D48" s="157">
        <f>SUM(D49:D63)</f>
        <v>85978</v>
      </c>
      <c r="E48" s="157">
        <f>SUM(E49:E63)</f>
        <v>61555</v>
      </c>
      <c r="F48" s="157">
        <f>SUM(F49:F63)</f>
        <v>58219</v>
      </c>
      <c r="G48" s="185">
        <f t="shared" si="0"/>
        <v>61.97</v>
      </c>
      <c r="H48" s="185">
        <f t="shared" si="1"/>
        <v>57.1</v>
      </c>
      <c r="I48" s="185">
        <f t="shared" si="2"/>
        <v>105.73</v>
      </c>
    </row>
    <row r="49" spans="1:11" ht="19.5" customHeight="1">
      <c r="A49" s="189" t="s">
        <v>578</v>
      </c>
      <c r="B49" s="163">
        <v>904</v>
      </c>
      <c r="C49" s="322">
        <f>1480</f>
        <v>1480</v>
      </c>
      <c r="D49" s="161">
        <f>2545+1</f>
        <v>2546</v>
      </c>
      <c r="E49" s="161">
        <v>1033</v>
      </c>
      <c r="F49" s="326">
        <v>1394</v>
      </c>
      <c r="G49" s="185">
        <f t="shared" si="0"/>
        <v>114.27</v>
      </c>
      <c r="H49" s="185">
        <f t="shared" si="1"/>
        <v>69.8</v>
      </c>
      <c r="I49" s="185">
        <f t="shared" si="2"/>
        <v>74.1</v>
      </c>
      <c r="K49" s="323"/>
    </row>
    <row r="50" spans="1:9" ht="19.5" customHeight="1">
      <c r="A50" s="189" t="s">
        <v>579</v>
      </c>
      <c r="B50" s="163">
        <v>191</v>
      </c>
      <c r="C50" s="322">
        <v>178</v>
      </c>
      <c r="D50" s="161">
        <v>178</v>
      </c>
      <c r="E50" s="161">
        <v>168</v>
      </c>
      <c r="F50" s="326">
        <v>68</v>
      </c>
      <c r="G50" s="185">
        <f t="shared" si="0"/>
        <v>87.96</v>
      </c>
      <c r="H50" s="185">
        <f t="shared" si="1"/>
        <v>94.38</v>
      </c>
      <c r="I50" s="185">
        <f>IF(F50=0,0,E50/F50*100)</f>
        <v>247.06</v>
      </c>
    </row>
    <row r="51" spans="1:9" ht="19.5" customHeight="1">
      <c r="A51" s="189" t="s">
        <v>580</v>
      </c>
      <c r="B51" s="163">
        <v>122</v>
      </c>
      <c r="C51" s="322">
        <v>40</v>
      </c>
      <c r="D51" s="161">
        <v>45</v>
      </c>
      <c r="E51" s="161">
        <v>25</v>
      </c>
      <c r="F51" s="326">
        <v>195</v>
      </c>
      <c r="G51" s="185">
        <f t="shared" si="0"/>
        <v>20.49</v>
      </c>
      <c r="H51" s="185">
        <f t="shared" si="1"/>
        <v>62.5</v>
      </c>
      <c r="I51" s="185">
        <f t="shared" si="2"/>
        <v>12.82</v>
      </c>
    </row>
    <row r="52" spans="1:9" ht="19.5" customHeight="1">
      <c r="A52" s="189" t="s">
        <v>581</v>
      </c>
      <c r="B52" s="163">
        <v>10</v>
      </c>
      <c r="C52" s="322">
        <v>10</v>
      </c>
      <c r="D52" s="161">
        <v>10</v>
      </c>
      <c r="E52" s="161">
        <v>10</v>
      </c>
      <c r="F52" s="326">
        <v>310</v>
      </c>
      <c r="G52" s="185">
        <f t="shared" si="0"/>
        <v>100</v>
      </c>
      <c r="H52" s="185">
        <f t="shared" si="1"/>
        <v>100</v>
      </c>
      <c r="I52" s="185">
        <f t="shared" si="2"/>
        <v>3.23</v>
      </c>
    </row>
    <row r="53" spans="1:9" ht="19.5" customHeight="1">
      <c r="A53" s="189" t="s">
        <v>582</v>
      </c>
      <c r="B53" s="163">
        <v>434</v>
      </c>
      <c r="C53" s="322">
        <v>387</v>
      </c>
      <c r="D53" s="161">
        <v>617</v>
      </c>
      <c r="E53" s="161">
        <v>297</v>
      </c>
      <c r="F53" s="326">
        <v>3306</v>
      </c>
      <c r="G53" s="185">
        <f t="shared" si="0"/>
        <v>68.43</v>
      </c>
      <c r="H53" s="185">
        <f t="shared" si="1"/>
        <v>76.74</v>
      </c>
      <c r="I53" s="185">
        <f t="shared" si="2"/>
        <v>8.98</v>
      </c>
    </row>
    <row r="54" spans="1:11" ht="19.5" customHeight="1">
      <c r="A54" s="189" t="s">
        <v>583</v>
      </c>
      <c r="B54" s="163">
        <v>2834</v>
      </c>
      <c r="C54" s="322">
        <v>1815</v>
      </c>
      <c r="D54" s="161">
        <v>2243</v>
      </c>
      <c r="E54" s="161">
        <v>1329</v>
      </c>
      <c r="F54" s="326">
        <v>89</v>
      </c>
      <c r="G54" s="185">
        <f t="shared" si="0"/>
        <v>46.89</v>
      </c>
      <c r="H54" s="185">
        <f t="shared" si="1"/>
        <v>73.22</v>
      </c>
      <c r="I54" s="185">
        <f t="shared" si="2"/>
        <v>1493.26</v>
      </c>
      <c r="K54" s="323"/>
    </row>
    <row r="55" spans="1:9" ht="19.5" customHeight="1">
      <c r="A55" s="189" t="s">
        <v>584</v>
      </c>
      <c r="B55" s="163">
        <v>84</v>
      </c>
      <c r="C55" s="322">
        <v>65</v>
      </c>
      <c r="D55" s="161">
        <v>65</v>
      </c>
      <c r="E55" s="161">
        <v>56</v>
      </c>
      <c r="F55" s="326">
        <v>1266</v>
      </c>
      <c r="G55" s="185">
        <f t="shared" si="0"/>
        <v>66.67</v>
      </c>
      <c r="H55" s="185">
        <f t="shared" si="1"/>
        <v>86.15</v>
      </c>
      <c r="I55" s="185">
        <f t="shared" si="2"/>
        <v>4.42</v>
      </c>
    </row>
    <row r="56" spans="1:11" ht="19.5" customHeight="1">
      <c r="A56" s="189" t="s">
        <v>585</v>
      </c>
      <c r="B56" s="163">
        <f>3408.5-1</f>
        <v>3408</v>
      </c>
      <c r="C56" s="322">
        <v>4041</v>
      </c>
      <c r="D56" s="161">
        <v>4204</v>
      </c>
      <c r="E56" s="161">
        <v>3226</v>
      </c>
      <c r="F56" s="326">
        <v>1444</v>
      </c>
      <c r="G56" s="185">
        <f t="shared" si="0"/>
        <v>94.66</v>
      </c>
      <c r="H56" s="185">
        <f t="shared" si="1"/>
        <v>79.83</v>
      </c>
      <c r="I56" s="185">
        <f>IF(BD56=0,0,E56/F56*100)</f>
        <v>0</v>
      </c>
      <c r="K56" s="323"/>
    </row>
    <row r="57" spans="1:11" ht="19.5" customHeight="1">
      <c r="A57" s="189" t="s">
        <v>586</v>
      </c>
      <c r="B57" s="163">
        <v>2095</v>
      </c>
      <c r="C57" s="322">
        <v>3841</v>
      </c>
      <c r="D57" s="161">
        <v>3189</v>
      </c>
      <c r="E57" s="161">
        <v>1769</v>
      </c>
      <c r="F57" s="326">
        <v>1567</v>
      </c>
      <c r="G57" s="185">
        <f t="shared" si="0"/>
        <v>84.44</v>
      </c>
      <c r="H57" s="185">
        <f t="shared" si="1"/>
        <v>46.06</v>
      </c>
      <c r="I57" s="185">
        <f t="shared" si="2"/>
        <v>112.89</v>
      </c>
      <c r="K57" s="323"/>
    </row>
    <row r="58" spans="1:11" ht="19.5" customHeight="1">
      <c r="A58" s="324" t="s">
        <v>967</v>
      </c>
      <c r="B58" s="163"/>
      <c r="C58" s="322"/>
      <c r="D58" s="161">
        <v>0</v>
      </c>
      <c r="E58" s="161"/>
      <c r="F58" s="326"/>
      <c r="G58" s="185"/>
      <c r="H58" s="185"/>
      <c r="I58" s="185"/>
      <c r="K58" s="323"/>
    </row>
    <row r="59" spans="1:12" ht="19.5" customHeight="1">
      <c r="A59" s="189" t="s">
        <v>589</v>
      </c>
      <c r="B59" s="163">
        <v>86785</v>
      </c>
      <c r="C59" s="322">
        <v>95947</v>
      </c>
      <c r="D59" s="161">
        <v>72881</v>
      </c>
      <c r="E59" s="161">
        <v>53642</v>
      </c>
      <c r="F59" s="326">
        <v>48229</v>
      </c>
      <c r="G59" s="185">
        <f t="shared" si="0"/>
        <v>61.81</v>
      </c>
      <c r="H59" s="185">
        <f t="shared" si="1"/>
        <v>55.91</v>
      </c>
      <c r="I59" s="185">
        <f t="shared" si="2"/>
        <v>111.22</v>
      </c>
      <c r="L59" s="327"/>
    </row>
    <row r="60" spans="1:9" ht="19.5" customHeight="1">
      <c r="A60" s="324" t="s">
        <v>964</v>
      </c>
      <c r="B60" s="163"/>
      <c r="C60" s="322"/>
      <c r="D60" s="157"/>
      <c r="E60" s="211"/>
      <c r="F60" s="326">
        <v>351</v>
      </c>
      <c r="G60" s="185">
        <f t="shared" si="0"/>
        <v>0</v>
      </c>
      <c r="H60" s="185">
        <f t="shared" si="1"/>
        <v>0</v>
      </c>
      <c r="I60" s="185">
        <f t="shared" si="2"/>
        <v>0</v>
      </c>
    </row>
    <row r="61" spans="1:9" ht="19.5" customHeight="1">
      <c r="A61" s="324" t="s">
        <v>593</v>
      </c>
      <c r="B61" s="163">
        <v>2457</v>
      </c>
      <c r="C61" s="161">
        <v>0</v>
      </c>
      <c r="D61" s="157"/>
      <c r="E61" s="211"/>
      <c r="F61" s="163"/>
      <c r="G61" s="185">
        <f t="shared" si="0"/>
        <v>0</v>
      </c>
      <c r="H61" s="185">
        <f t="shared" si="1"/>
        <v>0</v>
      </c>
      <c r="I61" s="185">
        <f t="shared" si="2"/>
        <v>0</v>
      </c>
    </row>
    <row r="62" spans="1:9" ht="19.5" customHeight="1">
      <c r="A62" s="189" t="s">
        <v>600</v>
      </c>
      <c r="B62" s="163"/>
      <c r="C62" s="161"/>
      <c r="D62" s="157"/>
      <c r="E62" s="158"/>
      <c r="F62" s="158"/>
      <c r="G62" s="185">
        <f t="shared" si="0"/>
        <v>0</v>
      </c>
      <c r="H62" s="185">
        <f t="shared" si="1"/>
        <v>0</v>
      </c>
      <c r="I62" s="185">
        <f t="shared" si="2"/>
        <v>0</v>
      </c>
    </row>
    <row r="63" spans="1:9" ht="19.5" customHeight="1">
      <c r="A63" s="189" t="s">
        <v>597</v>
      </c>
      <c r="B63" s="158"/>
      <c r="C63" s="157"/>
      <c r="D63" s="157"/>
      <c r="E63" s="323"/>
      <c r="F63" s="188">
        <v>0</v>
      </c>
      <c r="G63" s="185">
        <f t="shared" si="0"/>
        <v>0</v>
      </c>
      <c r="H63" s="185">
        <f t="shared" si="1"/>
        <v>0</v>
      </c>
      <c r="I63" s="185">
        <f t="shared" si="2"/>
        <v>0</v>
      </c>
    </row>
    <row r="64" spans="1:9" ht="19.5" customHeight="1">
      <c r="A64" s="321" t="s">
        <v>601</v>
      </c>
      <c r="B64" s="157">
        <f>SUM(B65:B66)</f>
        <v>12800</v>
      </c>
      <c r="C64" s="157">
        <f>SUM(C65:C66)</f>
        <v>12800</v>
      </c>
      <c r="D64" s="157">
        <f>SUM(D65:D66)</f>
        <v>12800</v>
      </c>
      <c r="E64" s="157">
        <f>SUM(E65:E66)</f>
        <v>0</v>
      </c>
      <c r="F64" s="157">
        <f>SUM(F65:F66)</f>
        <v>0</v>
      </c>
      <c r="G64" s="185">
        <f t="shared" si="0"/>
        <v>0</v>
      </c>
      <c r="H64" s="185">
        <f t="shared" si="1"/>
        <v>0</v>
      </c>
      <c r="I64" s="185">
        <f t="shared" si="2"/>
        <v>0</v>
      </c>
    </row>
    <row r="65" spans="1:9" ht="19.5" customHeight="1">
      <c r="A65" s="189" t="s">
        <v>600</v>
      </c>
      <c r="B65" s="160">
        <v>11800</v>
      </c>
      <c r="C65" s="160">
        <v>11800</v>
      </c>
      <c r="D65" s="257">
        <v>11800</v>
      </c>
      <c r="E65" s="158"/>
      <c r="F65" s="158"/>
      <c r="G65" s="185">
        <f t="shared" si="0"/>
        <v>0</v>
      </c>
      <c r="H65" s="185">
        <f t="shared" si="1"/>
        <v>0</v>
      </c>
      <c r="I65" s="185">
        <f t="shared" si="2"/>
        <v>0</v>
      </c>
    </row>
    <row r="66" spans="1:9" ht="19.5" customHeight="1">
      <c r="A66" s="324" t="s">
        <v>593</v>
      </c>
      <c r="B66" s="160">
        <v>1000</v>
      </c>
      <c r="C66" s="159">
        <v>1000</v>
      </c>
      <c r="D66" s="157">
        <v>1000</v>
      </c>
      <c r="E66" s="158"/>
      <c r="F66" s="158"/>
      <c r="G66" s="185">
        <f t="shared" si="0"/>
        <v>0</v>
      </c>
      <c r="H66" s="185">
        <f t="shared" si="1"/>
        <v>0</v>
      </c>
      <c r="I66" s="185">
        <f t="shared" si="2"/>
        <v>0</v>
      </c>
    </row>
    <row r="67" spans="1:9" ht="19.5" customHeight="1">
      <c r="A67" s="321" t="s">
        <v>572</v>
      </c>
      <c r="B67" s="189"/>
      <c r="C67" s="157"/>
      <c r="D67" s="157">
        <f>D68</f>
        <v>0</v>
      </c>
      <c r="E67" s="158"/>
      <c r="F67" s="190">
        <f>F68</f>
        <v>20470</v>
      </c>
      <c r="G67" s="185">
        <f t="shared" si="0"/>
        <v>0</v>
      </c>
      <c r="H67" s="185">
        <f t="shared" si="1"/>
        <v>0</v>
      </c>
      <c r="I67" s="185">
        <f t="shared" si="2"/>
        <v>0</v>
      </c>
    </row>
    <row r="68" spans="1:9" ht="19.5" customHeight="1">
      <c r="A68" s="189" t="s">
        <v>594</v>
      </c>
      <c r="B68" s="189"/>
      <c r="C68" s="157"/>
      <c r="D68" s="158"/>
      <c r="E68" s="158"/>
      <c r="F68" s="190">
        <f>F69</f>
        <v>20470</v>
      </c>
      <c r="G68" s="185">
        <f t="shared" si="0"/>
        <v>0</v>
      </c>
      <c r="H68" s="185">
        <f t="shared" si="1"/>
        <v>0</v>
      </c>
      <c r="I68" s="185">
        <f t="shared" si="2"/>
        <v>0</v>
      </c>
    </row>
    <row r="69" spans="1:9" ht="19.5" customHeight="1">
      <c r="A69" s="189" t="s">
        <v>602</v>
      </c>
      <c r="B69" s="189"/>
      <c r="C69" s="157"/>
      <c r="D69" s="158"/>
      <c r="E69" s="158"/>
      <c r="F69" s="163">
        <v>20470</v>
      </c>
      <c r="G69" s="185">
        <f t="shared" si="0"/>
        <v>0</v>
      </c>
      <c r="H69" s="185">
        <f t="shared" si="1"/>
        <v>0</v>
      </c>
      <c r="I69" s="185">
        <f t="shared" si="2"/>
        <v>0</v>
      </c>
    </row>
    <row r="70" spans="2:5" ht="14.25" customHeight="1">
      <c r="B70" s="183"/>
      <c r="C70" s="183"/>
      <c r="D70" s="183"/>
      <c r="E70" s="183"/>
    </row>
    <row r="71" spans="2:5" ht="14.25" customHeight="1">
      <c r="B71" s="328"/>
      <c r="C71" s="183"/>
      <c r="D71" s="183"/>
      <c r="E71" s="183"/>
    </row>
    <row r="72" spans="2:5" ht="14.25" customHeight="1">
      <c r="B72" s="183"/>
      <c r="C72" s="183"/>
      <c r="D72" s="183"/>
      <c r="E72" s="183"/>
    </row>
    <row r="73" spans="2:5" ht="14.25" customHeight="1">
      <c r="B73" s="183"/>
      <c r="C73" s="183"/>
      <c r="D73" s="183"/>
      <c r="E73" s="183"/>
    </row>
    <row r="74" spans="2:5" ht="14.25" customHeight="1">
      <c r="B74" s="183"/>
      <c r="C74" s="183"/>
      <c r="D74" s="183"/>
      <c r="E74" s="183"/>
    </row>
    <row r="75" spans="2:5" ht="14.25" customHeight="1">
      <c r="B75" s="183"/>
      <c r="C75" s="183"/>
      <c r="D75" s="183"/>
      <c r="E75" s="183"/>
    </row>
    <row r="76" spans="2:5" ht="14.25" customHeight="1">
      <c r="B76" s="183"/>
      <c r="C76" s="183"/>
      <c r="D76" s="183"/>
      <c r="E76" s="183"/>
    </row>
    <row r="77" spans="2:5" ht="14.25" customHeight="1">
      <c r="B77" s="183"/>
      <c r="C77" s="183"/>
      <c r="D77" s="183"/>
      <c r="E77" s="183"/>
    </row>
    <row r="78" spans="2:5" ht="14.25" customHeight="1">
      <c r="B78" s="183"/>
      <c r="C78" s="183"/>
      <c r="D78" s="183"/>
      <c r="E78" s="183"/>
    </row>
    <row r="79" spans="2:5" ht="14.25" customHeight="1">
      <c r="B79" s="183"/>
      <c r="C79" s="183"/>
      <c r="D79" s="183"/>
      <c r="E79" s="183"/>
    </row>
    <row r="80" spans="2:5" ht="14.25" customHeight="1">
      <c r="B80" s="183"/>
      <c r="C80" s="183"/>
      <c r="D80" s="183"/>
      <c r="E80" s="183"/>
    </row>
    <row r="81" spans="2:5" ht="14.25" customHeight="1">
      <c r="B81" s="183"/>
      <c r="C81" s="183"/>
      <c r="D81" s="183"/>
      <c r="E81" s="183"/>
    </row>
    <row r="82" spans="2:5" ht="14.25" customHeight="1">
      <c r="B82" s="183"/>
      <c r="C82" s="183"/>
      <c r="D82" s="183"/>
      <c r="E82" s="183"/>
    </row>
    <row r="83" spans="2:5" ht="14.25" customHeight="1">
      <c r="B83" s="183"/>
      <c r="C83" s="183"/>
      <c r="D83" s="183"/>
      <c r="E83" s="183"/>
    </row>
    <row r="84" spans="2:5" ht="14.25" customHeight="1">
      <c r="B84" s="183"/>
      <c r="C84" s="183"/>
      <c r="D84" s="183"/>
      <c r="E84" s="183"/>
    </row>
    <row r="85" spans="2:5" ht="14.25" customHeight="1">
      <c r="B85" s="183"/>
      <c r="C85" s="183"/>
      <c r="D85" s="183"/>
      <c r="E85" s="183"/>
    </row>
    <row r="86" spans="2:5" ht="14.25" customHeight="1">
      <c r="B86" s="183"/>
      <c r="C86" s="183"/>
      <c r="D86" s="183"/>
      <c r="E86" s="183"/>
    </row>
    <row r="87" spans="2:5" ht="14.25" customHeight="1">
      <c r="B87" s="183"/>
      <c r="C87" s="183"/>
      <c r="D87" s="183"/>
      <c r="E87" s="183"/>
    </row>
    <row r="88" spans="2:5" ht="14.25" customHeight="1">
      <c r="B88" s="183"/>
      <c r="C88" s="183"/>
      <c r="D88" s="183"/>
      <c r="E88" s="183"/>
    </row>
    <row r="89" spans="2:5" ht="14.25" customHeight="1">
      <c r="B89" s="183"/>
      <c r="C89" s="183"/>
      <c r="D89" s="183"/>
      <c r="E89" s="183"/>
    </row>
    <row r="90" spans="2:5" ht="14.25" customHeight="1">
      <c r="B90" s="183"/>
      <c r="C90" s="183"/>
      <c r="D90" s="183"/>
      <c r="E90" s="183"/>
    </row>
    <row r="91" spans="2:5" ht="14.25" customHeight="1">
      <c r="B91" s="183"/>
      <c r="C91" s="183"/>
      <c r="D91" s="183"/>
      <c r="E91" s="183"/>
    </row>
    <row r="92" spans="2:5" ht="14.25" customHeight="1">
      <c r="B92" s="183"/>
      <c r="C92" s="183"/>
      <c r="D92" s="183"/>
      <c r="E92" s="183"/>
    </row>
    <row r="93" spans="2:5" ht="14.25" customHeight="1">
      <c r="B93" s="183"/>
      <c r="C93" s="183"/>
      <c r="D93" s="183"/>
      <c r="E93" s="183"/>
    </row>
    <row r="94" spans="2:5" ht="14.25" customHeight="1">
      <c r="B94" s="183"/>
      <c r="C94" s="183"/>
      <c r="D94" s="183"/>
      <c r="E94" s="183"/>
    </row>
    <row r="95" spans="2:5" ht="14.25" customHeight="1">
      <c r="B95" s="183"/>
      <c r="C95" s="183"/>
      <c r="D95" s="183"/>
      <c r="E95" s="183"/>
    </row>
    <row r="96" spans="2:5" ht="14.25" customHeight="1">
      <c r="B96" s="183"/>
      <c r="C96" s="183"/>
      <c r="D96" s="183"/>
      <c r="E96" s="183"/>
    </row>
    <row r="97" spans="2:5" ht="14.25" customHeight="1">
      <c r="B97" s="183"/>
      <c r="C97" s="183"/>
      <c r="D97" s="183"/>
      <c r="E97" s="183"/>
    </row>
    <row r="98" spans="2:5" ht="14.25" customHeight="1">
      <c r="B98" s="183"/>
      <c r="C98" s="183"/>
      <c r="D98" s="183"/>
      <c r="E98" s="183"/>
    </row>
    <row r="99" spans="2:5" ht="14.25" customHeight="1">
      <c r="B99" s="183"/>
      <c r="C99" s="183"/>
      <c r="D99" s="183"/>
      <c r="E99" s="183"/>
    </row>
    <row r="100" spans="2:5" ht="14.25" customHeight="1">
      <c r="B100" s="183"/>
      <c r="C100" s="183"/>
      <c r="D100" s="183"/>
      <c r="E100" s="183"/>
    </row>
    <row r="101" spans="2:5" ht="14.25" customHeight="1">
      <c r="B101" s="183"/>
      <c r="C101" s="183"/>
      <c r="D101" s="183"/>
      <c r="E101" s="183"/>
    </row>
    <row r="102" spans="2:5" ht="14.25" customHeight="1">
      <c r="B102" s="183"/>
      <c r="C102" s="183"/>
      <c r="D102" s="183"/>
      <c r="E102" s="183"/>
    </row>
    <row r="103" spans="2:5" ht="14.25" customHeight="1">
      <c r="B103" s="183"/>
      <c r="C103" s="183"/>
      <c r="D103" s="183"/>
      <c r="E103" s="183"/>
    </row>
    <row r="104" spans="2:5" ht="14.25" customHeight="1">
      <c r="B104" s="183"/>
      <c r="C104" s="183"/>
      <c r="D104" s="183"/>
      <c r="E104" s="183"/>
    </row>
    <row r="105" spans="2:5" ht="14.25" customHeight="1">
      <c r="B105" s="183"/>
      <c r="C105" s="183"/>
      <c r="D105" s="183"/>
      <c r="E105" s="183"/>
    </row>
    <row r="106" spans="2:5" ht="14.25" customHeight="1">
      <c r="B106" s="183"/>
      <c r="C106" s="183"/>
      <c r="D106" s="183"/>
      <c r="E106" s="183"/>
    </row>
    <row r="107" spans="2:5" ht="14.25" customHeight="1">
      <c r="B107" s="183"/>
      <c r="C107" s="183"/>
      <c r="D107" s="183"/>
      <c r="E107" s="183"/>
    </row>
    <row r="108" spans="2:5" ht="14.25" customHeight="1">
      <c r="B108" s="183"/>
      <c r="C108" s="183"/>
      <c r="D108" s="183"/>
      <c r="E108" s="183"/>
    </row>
    <row r="109" spans="2:5" ht="14.25" customHeight="1">
      <c r="B109" s="183"/>
      <c r="C109" s="183"/>
      <c r="D109" s="183"/>
      <c r="E109" s="183"/>
    </row>
    <row r="110" spans="2:5" ht="14.25" customHeight="1">
      <c r="B110" s="183"/>
      <c r="C110" s="183"/>
      <c r="D110" s="183"/>
      <c r="E110" s="183"/>
    </row>
    <row r="111" spans="2:5" ht="14.25" customHeight="1">
      <c r="B111" s="183"/>
      <c r="C111" s="183"/>
      <c r="D111" s="183"/>
      <c r="E111" s="183"/>
    </row>
    <row r="112" spans="2:5" ht="14.25" customHeight="1">
      <c r="B112" s="183"/>
      <c r="C112" s="183"/>
      <c r="D112" s="183"/>
      <c r="E112" s="183"/>
    </row>
    <row r="113" spans="2:5" ht="14.25" customHeight="1">
      <c r="B113" s="183"/>
      <c r="C113" s="183"/>
      <c r="D113" s="183"/>
      <c r="E113" s="183"/>
    </row>
    <row r="114" spans="2:5" ht="14.25" customHeight="1">
      <c r="B114" s="183"/>
      <c r="C114" s="183"/>
      <c r="D114" s="183"/>
      <c r="E114" s="183"/>
    </row>
    <row r="115" spans="2:5" ht="14.25" customHeight="1">
      <c r="B115" s="183"/>
      <c r="C115" s="183"/>
      <c r="D115" s="183"/>
      <c r="E115" s="183"/>
    </row>
    <row r="116" spans="2:5" ht="14.25" customHeight="1">
      <c r="B116" s="183"/>
      <c r="C116" s="183"/>
      <c r="D116" s="183"/>
      <c r="E116" s="183"/>
    </row>
    <row r="117" spans="2:5" ht="14.25" customHeight="1">
      <c r="B117" s="183"/>
      <c r="C117" s="183"/>
      <c r="D117" s="183"/>
      <c r="E117" s="183"/>
    </row>
    <row r="118" spans="2:5" ht="14.25" customHeight="1">
      <c r="B118" s="183"/>
      <c r="C118" s="183"/>
      <c r="D118" s="183"/>
      <c r="E118" s="183"/>
    </row>
    <row r="119" spans="2:5" ht="14.25" customHeight="1">
      <c r="B119" s="183"/>
      <c r="C119" s="183"/>
      <c r="D119" s="183"/>
      <c r="E119" s="183"/>
    </row>
    <row r="120" spans="2:5" ht="14.25" customHeight="1">
      <c r="B120" s="183"/>
      <c r="C120" s="183"/>
      <c r="D120" s="183"/>
      <c r="E120" s="183"/>
    </row>
    <row r="121" spans="2:5" ht="14.25" customHeight="1">
      <c r="B121" s="183"/>
      <c r="C121" s="183"/>
      <c r="D121" s="183"/>
      <c r="E121" s="183"/>
    </row>
    <row r="122" spans="2:5" ht="14.25" customHeight="1">
      <c r="B122" s="183"/>
      <c r="C122" s="183"/>
      <c r="D122" s="183"/>
      <c r="E122" s="183"/>
    </row>
    <row r="123" spans="2:5" ht="14.25" customHeight="1">
      <c r="B123" s="183"/>
      <c r="C123" s="183"/>
      <c r="D123" s="183"/>
      <c r="E123" s="183"/>
    </row>
    <row r="124" spans="2:5" ht="14.25" customHeight="1">
      <c r="B124" s="183"/>
      <c r="C124" s="183"/>
      <c r="D124" s="183"/>
      <c r="E124" s="183"/>
    </row>
    <row r="125" spans="2:5" ht="14.25" customHeight="1">
      <c r="B125" s="183"/>
      <c r="C125" s="183"/>
      <c r="D125" s="183"/>
      <c r="E125" s="183"/>
    </row>
    <row r="126" spans="2:5" ht="14.25" customHeight="1">
      <c r="B126" s="183"/>
      <c r="C126" s="183"/>
      <c r="D126" s="183"/>
      <c r="E126" s="183"/>
    </row>
    <row r="127" spans="2:5" ht="14.25" customHeight="1">
      <c r="B127" s="183"/>
      <c r="C127" s="183"/>
      <c r="D127" s="183"/>
      <c r="E127" s="183"/>
    </row>
    <row r="128" spans="2:5" ht="14.25" customHeight="1">
      <c r="B128" s="183"/>
      <c r="C128" s="183"/>
      <c r="D128" s="183"/>
      <c r="E128" s="183"/>
    </row>
    <row r="129" spans="2:5" ht="14.25" customHeight="1">
      <c r="B129" s="183"/>
      <c r="C129" s="183"/>
      <c r="D129" s="183"/>
      <c r="E129" s="183"/>
    </row>
    <row r="130" spans="2:5" ht="14.25" customHeight="1">
      <c r="B130" s="183"/>
      <c r="C130" s="183"/>
      <c r="D130" s="183"/>
      <c r="E130" s="183"/>
    </row>
    <row r="131" spans="2:5" ht="14.25" customHeight="1">
      <c r="B131" s="183"/>
      <c r="C131" s="183"/>
      <c r="D131" s="183"/>
      <c r="E131" s="183"/>
    </row>
    <row r="132" spans="2:5" ht="14.25" customHeight="1">
      <c r="B132" s="183"/>
      <c r="C132" s="183"/>
      <c r="D132" s="183"/>
      <c r="E132" s="183"/>
    </row>
    <row r="133" spans="2:5" ht="14.25" customHeight="1">
      <c r="B133" s="183"/>
      <c r="C133" s="183"/>
      <c r="D133" s="183"/>
      <c r="E133" s="183"/>
    </row>
    <row r="134" spans="2:5" ht="14.25" customHeight="1">
      <c r="B134" s="183"/>
      <c r="C134" s="183"/>
      <c r="D134" s="183"/>
      <c r="E134" s="183"/>
    </row>
    <row r="135" spans="2:5" ht="14.25" customHeight="1">
      <c r="B135" s="183"/>
      <c r="C135" s="183"/>
      <c r="D135" s="183"/>
      <c r="E135" s="183"/>
    </row>
    <row r="136" spans="2:5" ht="14.25" customHeight="1">
      <c r="B136" s="183"/>
      <c r="C136" s="183"/>
      <c r="D136" s="183"/>
      <c r="E136" s="183"/>
    </row>
    <row r="137" spans="2:5" ht="14.25" customHeight="1">
      <c r="B137" s="183"/>
      <c r="C137" s="183"/>
      <c r="D137" s="183"/>
      <c r="E137" s="183"/>
    </row>
    <row r="138" spans="2:5" ht="14.25" customHeight="1">
      <c r="B138" s="183"/>
      <c r="C138" s="183"/>
      <c r="D138" s="183"/>
      <c r="E138" s="183"/>
    </row>
    <row r="139" spans="2:5" ht="14.25" customHeight="1">
      <c r="B139" s="183"/>
      <c r="C139" s="183"/>
      <c r="D139" s="183"/>
      <c r="E139" s="183"/>
    </row>
    <row r="140" spans="2:5" ht="14.25" customHeight="1">
      <c r="B140" s="183"/>
      <c r="C140" s="183"/>
      <c r="D140" s="183"/>
      <c r="E140" s="183"/>
    </row>
    <row r="141" spans="2:5" ht="14.25" customHeight="1">
      <c r="B141" s="183"/>
      <c r="C141" s="183"/>
      <c r="D141" s="183"/>
      <c r="E141" s="183"/>
    </row>
    <row r="142" spans="2:5" ht="14.25" customHeight="1">
      <c r="B142" s="183"/>
      <c r="C142" s="183"/>
      <c r="D142" s="183"/>
      <c r="E142" s="183"/>
    </row>
    <row r="143" spans="2:5" ht="14.25" customHeight="1">
      <c r="B143" s="183"/>
      <c r="C143" s="183"/>
      <c r="D143" s="183"/>
      <c r="E143" s="183"/>
    </row>
    <row r="144" spans="2:5" ht="14.25" customHeight="1">
      <c r="B144" s="183"/>
      <c r="C144" s="183"/>
      <c r="D144" s="183"/>
      <c r="E144" s="183"/>
    </row>
    <row r="145" spans="2:5" ht="14.25" customHeight="1">
      <c r="B145" s="183"/>
      <c r="C145" s="183"/>
      <c r="D145" s="183"/>
      <c r="E145" s="183"/>
    </row>
    <row r="146" spans="2:5" ht="14.25" customHeight="1">
      <c r="B146" s="183"/>
      <c r="C146" s="183"/>
      <c r="D146" s="183"/>
      <c r="E146" s="183"/>
    </row>
    <row r="147" spans="2:5" ht="14.25" customHeight="1">
      <c r="B147" s="183"/>
      <c r="C147" s="183"/>
      <c r="D147" s="183"/>
      <c r="E147" s="183"/>
    </row>
    <row r="148" spans="2:5" ht="14.25" customHeight="1">
      <c r="B148" s="183"/>
      <c r="C148" s="183"/>
      <c r="D148" s="183"/>
      <c r="E148" s="183"/>
    </row>
    <row r="149" spans="2:5" ht="14.25" customHeight="1">
      <c r="B149" s="183"/>
      <c r="C149" s="183"/>
      <c r="D149" s="183"/>
      <c r="E149" s="183"/>
    </row>
    <row r="150" spans="2:5" ht="14.25" customHeight="1">
      <c r="B150" s="183"/>
      <c r="C150" s="183"/>
      <c r="D150" s="183"/>
      <c r="E150" s="183"/>
    </row>
    <row r="151" spans="2:5" ht="14.25" customHeight="1">
      <c r="B151" s="183"/>
      <c r="C151" s="183"/>
      <c r="D151" s="183"/>
      <c r="E151" s="183"/>
    </row>
    <row r="152" spans="2:5" ht="14.25" customHeight="1">
      <c r="B152" s="183"/>
      <c r="C152" s="183"/>
      <c r="D152" s="183"/>
      <c r="E152" s="183"/>
    </row>
    <row r="153" spans="2:5" ht="14.25" customHeight="1">
      <c r="B153" s="183"/>
      <c r="C153" s="183"/>
      <c r="D153" s="183"/>
      <c r="E153" s="183"/>
    </row>
    <row r="154" spans="2:5" ht="14.25" customHeight="1">
      <c r="B154" s="183"/>
      <c r="C154" s="183"/>
      <c r="D154" s="183"/>
      <c r="E154" s="183"/>
    </row>
    <row r="155" spans="2:5" ht="14.25" customHeight="1">
      <c r="B155" s="183"/>
      <c r="C155" s="183"/>
      <c r="D155" s="183"/>
      <c r="E155" s="183"/>
    </row>
    <row r="156" spans="2:5" ht="14.25" customHeight="1">
      <c r="B156" s="183"/>
      <c r="C156" s="183"/>
      <c r="D156" s="183"/>
      <c r="E156" s="183"/>
    </row>
    <row r="157" spans="2:5" ht="14.25" customHeight="1">
      <c r="B157" s="183"/>
      <c r="C157" s="183"/>
      <c r="D157" s="183"/>
      <c r="E157" s="183"/>
    </row>
    <row r="158" spans="2:5" ht="14.25" customHeight="1">
      <c r="B158" s="183"/>
      <c r="C158" s="183"/>
      <c r="D158" s="183"/>
      <c r="E158" s="183"/>
    </row>
    <row r="159" spans="2:5" ht="14.25" customHeight="1">
      <c r="B159" s="183"/>
      <c r="C159" s="183"/>
      <c r="D159" s="183"/>
      <c r="E159" s="183"/>
    </row>
    <row r="160" spans="2:5" ht="14.25" customHeight="1">
      <c r="B160" s="183"/>
      <c r="C160" s="183"/>
      <c r="D160" s="183"/>
      <c r="E160" s="183"/>
    </row>
    <row r="161" spans="2:5" ht="14.25" customHeight="1">
      <c r="B161" s="183"/>
      <c r="C161" s="183"/>
      <c r="D161" s="183"/>
      <c r="E161" s="183"/>
    </row>
    <row r="162" spans="2:5" ht="14.25" customHeight="1">
      <c r="B162" s="183"/>
      <c r="C162" s="183"/>
      <c r="D162" s="183"/>
      <c r="E162" s="183"/>
    </row>
    <row r="163" spans="2:5" ht="14.25" customHeight="1">
      <c r="B163" s="183"/>
      <c r="C163" s="183"/>
      <c r="D163" s="183"/>
      <c r="E163" s="183"/>
    </row>
    <row r="164" spans="2:5" ht="14.25" customHeight="1">
      <c r="B164" s="183"/>
      <c r="C164" s="183"/>
      <c r="D164" s="183"/>
      <c r="E164" s="183"/>
    </row>
    <row r="165" spans="2:5" ht="14.25" customHeight="1">
      <c r="B165" s="183"/>
      <c r="C165" s="183"/>
      <c r="D165" s="183"/>
      <c r="E165" s="183"/>
    </row>
    <row r="166" spans="2:5" ht="14.25" customHeight="1">
      <c r="B166" s="183"/>
      <c r="C166" s="183"/>
      <c r="D166" s="183"/>
      <c r="E166" s="183"/>
    </row>
    <row r="167" spans="2:5" ht="14.25" customHeight="1">
      <c r="B167" s="183"/>
      <c r="C167" s="183"/>
      <c r="D167" s="183"/>
      <c r="E167" s="183"/>
    </row>
    <row r="168" spans="2:5" ht="14.25" customHeight="1">
      <c r="B168" s="183"/>
      <c r="C168" s="183"/>
      <c r="D168" s="183"/>
      <c r="E168" s="183"/>
    </row>
    <row r="169" spans="2:5" ht="14.25" customHeight="1">
      <c r="B169" s="183"/>
      <c r="C169" s="183"/>
      <c r="D169" s="183"/>
      <c r="E169" s="183"/>
    </row>
    <row r="170" spans="2:5" ht="14.25" customHeight="1">
      <c r="B170" s="183"/>
      <c r="C170" s="183"/>
      <c r="D170" s="183"/>
      <c r="E170" s="183"/>
    </row>
    <row r="171" spans="2:5" ht="14.25" customHeight="1">
      <c r="B171" s="183"/>
      <c r="C171" s="183"/>
      <c r="D171" s="183"/>
      <c r="E171" s="183"/>
    </row>
    <row r="172" spans="2:5" ht="14.25" customHeight="1">
      <c r="B172" s="183"/>
      <c r="C172" s="183"/>
      <c r="D172" s="183"/>
      <c r="E172" s="183"/>
    </row>
    <row r="173" spans="2:5" ht="14.25" customHeight="1">
      <c r="B173" s="183"/>
      <c r="C173" s="183"/>
      <c r="D173" s="183"/>
      <c r="E173" s="183"/>
    </row>
    <row r="174" spans="2:5" ht="14.25" customHeight="1">
      <c r="B174" s="183"/>
      <c r="C174" s="183"/>
      <c r="D174" s="183"/>
      <c r="E174" s="183"/>
    </row>
    <row r="175" spans="2:5" ht="14.25" customHeight="1">
      <c r="B175" s="183"/>
      <c r="C175" s="183"/>
      <c r="D175" s="183"/>
      <c r="E175" s="183"/>
    </row>
    <row r="176" spans="2:5" ht="14.25" customHeight="1">
      <c r="B176" s="183"/>
      <c r="C176" s="183"/>
      <c r="D176" s="183"/>
      <c r="E176" s="183"/>
    </row>
    <row r="177" spans="2:5" ht="14.25" customHeight="1">
      <c r="B177" s="183"/>
      <c r="C177" s="183"/>
      <c r="D177" s="183"/>
      <c r="E177" s="183"/>
    </row>
    <row r="178" spans="2:5" ht="14.25" customHeight="1">
      <c r="B178" s="183"/>
      <c r="C178" s="183"/>
      <c r="D178" s="183"/>
      <c r="E178" s="183"/>
    </row>
    <row r="179" spans="2:5" ht="14.25" customHeight="1">
      <c r="B179" s="183"/>
      <c r="C179" s="183"/>
      <c r="D179" s="183"/>
      <c r="E179" s="183"/>
    </row>
    <row r="180" spans="2:5" ht="14.25" customHeight="1">
      <c r="B180" s="183"/>
      <c r="C180" s="183"/>
      <c r="D180" s="183"/>
      <c r="E180" s="183"/>
    </row>
    <row r="181" spans="2:5" ht="14.25" customHeight="1">
      <c r="B181" s="183"/>
      <c r="C181" s="183"/>
      <c r="D181" s="183"/>
      <c r="E181" s="183"/>
    </row>
    <row r="182" spans="2:5" ht="14.25" customHeight="1">
      <c r="B182" s="183"/>
      <c r="C182" s="183"/>
      <c r="D182" s="183"/>
      <c r="E182" s="183"/>
    </row>
    <row r="183" spans="2:5" ht="14.25" customHeight="1">
      <c r="B183" s="183"/>
      <c r="C183" s="183"/>
      <c r="D183" s="183"/>
      <c r="E183" s="183"/>
    </row>
    <row r="184" spans="2:5" ht="14.25" customHeight="1">
      <c r="B184" s="183"/>
      <c r="C184" s="183"/>
      <c r="D184" s="183"/>
      <c r="E184" s="183"/>
    </row>
    <row r="185" spans="2:5" ht="14.25" customHeight="1">
      <c r="B185" s="183"/>
      <c r="C185" s="183"/>
      <c r="D185" s="183"/>
      <c r="E185" s="183"/>
    </row>
    <row r="186" spans="2:5" ht="14.25" customHeight="1">
      <c r="B186" s="183"/>
      <c r="C186" s="183"/>
      <c r="D186" s="183"/>
      <c r="E186" s="183"/>
    </row>
    <row r="187" spans="2:5" ht="14.25" customHeight="1">
      <c r="B187" s="183"/>
      <c r="C187" s="183"/>
      <c r="D187" s="183"/>
      <c r="E187" s="183"/>
    </row>
    <row r="188" spans="2:5" ht="14.25" customHeight="1">
      <c r="B188" s="183"/>
      <c r="C188" s="183"/>
      <c r="D188" s="183"/>
      <c r="E188" s="183"/>
    </row>
    <row r="189" spans="2:5" ht="14.25" customHeight="1">
      <c r="B189" s="183"/>
      <c r="C189" s="183"/>
      <c r="D189" s="183"/>
      <c r="E189" s="183"/>
    </row>
    <row r="190" spans="2:5" ht="14.25" customHeight="1">
      <c r="B190" s="183"/>
      <c r="C190" s="183"/>
      <c r="D190" s="183"/>
      <c r="E190" s="183"/>
    </row>
    <row r="191" spans="2:5" ht="14.25" customHeight="1">
      <c r="B191" s="183"/>
      <c r="C191" s="183"/>
      <c r="D191" s="183"/>
      <c r="E191" s="183"/>
    </row>
    <row r="192" spans="2:5" ht="14.25" customHeight="1">
      <c r="B192" s="183"/>
      <c r="C192" s="183"/>
      <c r="D192" s="183"/>
      <c r="E192" s="183"/>
    </row>
    <row r="193" spans="2:5" ht="14.25" customHeight="1">
      <c r="B193" s="183"/>
      <c r="C193" s="183"/>
      <c r="D193" s="183"/>
      <c r="E193" s="183"/>
    </row>
    <row r="194" spans="2:5" ht="14.25" customHeight="1">
      <c r="B194" s="183"/>
      <c r="C194" s="183"/>
      <c r="D194" s="183"/>
      <c r="E194" s="183"/>
    </row>
    <row r="195" spans="2:5" ht="14.25" customHeight="1">
      <c r="B195" s="183"/>
      <c r="C195" s="183"/>
      <c r="D195" s="183"/>
      <c r="E195" s="183"/>
    </row>
    <row r="196" spans="2:5" ht="14.25" customHeight="1">
      <c r="B196" s="183"/>
      <c r="C196" s="183"/>
      <c r="D196" s="183"/>
      <c r="E196" s="183"/>
    </row>
    <row r="197" spans="2:5" ht="14.25" customHeight="1">
      <c r="B197" s="183"/>
      <c r="C197" s="183"/>
      <c r="D197" s="183"/>
      <c r="E197" s="183"/>
    </row>
    <row r="198" spans="2:5" ht="14.25" customHeight="1">
      <c r="B198" s="183"/>
      <c r="C198" s="183"/>
      <c r="D198" s="183"/>
      <c r="E198" s="183"/>
    </row>
    <row r="199" spans="2:5" ht="14.25" customHeight="1">
      <c r="B199" s="183"/>
      <c r="C199" s="183"/>
      <c r="D199" s="183"/>
      <c r="E199" s="183"/>
    </row>
    <row r="200" spans="2:5" ht="14.25" customHeight="1">
      <c r="B200" s="183"/>
      <c r="C200" s="183"/>
      <c r="D200" s="183"/>
      <c r="E200" s="183"/>
    </row>
    <row r="201" spans="2:5" ht="14.25" customHeight="1">
      <c r="B201" s="183"/>
      <c r="C201" s="183"/>
      <c r="D201" s="183"/>
      <c r="E201" s="183"/>
    </row>
    <row r="202" spans="2:5" ht="14.25" customHeight="1">
      <c r="B202" s="183"/>
      <c r="C202" s="183"/>
      <c r="D202" s="183"/>
      <c r="E202" s="183"/>
    </row>
    <row r="203" spans="2:5" ht="14.25" customHeight="1">
      <c r="B203" s="183"/>
      <c r="C203" s="183"/>
      <c r="D203" s="183"/>
      <c r="E203" s="183"/>
    </row>
    <row r="204" spans="2:5" ht="14.25" customHeight="1">
      <c r="B204" s="183"/>
      <c r="C204" s="183"/>
      <c r="D204" s="183"/>
      <c r="E204" s="183"/>
    </row>
    <row r="205" spans="2:5" ht="14.25" customHeight="1">
      <c r="B205" s="183"/>
      <c r="C205" s="183"/>
      <c r="D205" s="183"/>
      <c r="E205" s="183"/>
    </row>
    <row r="206" spans="2:5" ht="14.25" customHeight="1">
      <c r="B206" s="183"/>
      <c r="C206" s="183"/>
      <c r="D206" s="183"/>
      <c r="E206" s="183"/>
    </row>
    <row r="207" spans="2:5" ht="14.25" customHeight="1">
      <c r="B207" s="183"/>
      <c r="C207" s="183"/>
      <c r="D207" s="183"/>
      <c r="E207" s="183"/>
    </row>
    <row r="208" spans="2:5" ht="14.25" customHeight="1">
      <c r="B208" s="183"/>
      <c r="C208" s="183"/>
      <c r="D208" s="183"/>
      <c r="E208" s="183"/>
    </row>
    <row r="209" spans="2:5" ht="14.25" customHeight="1">
      <c r="B209" s="183"/>
      <c r="C209" s="183"/>
      <c r="D209" s="183"/>
      <c r="E209" s="183"/>
    </row>
    <row r="210" spans="2:5" ht="14.25" customHeight="1">
      <c r="B210" s="183"/>
      <c r="C210" s="183"/>
      <c r="D210" s="183"/>
      <c r="E210" s="183"/>
    </row>
    <row r="211" spans="2:5" ht="14.25" customHeight="1">
      <c r="B211" s="183"/>
      <c r="C211" s="183"/>
      <c r="D211" s="183"/>
      <c r="E211" s="183"/>
    </row>
    <row r="212" spans="2:5" ht="14.25" customHeight="1">
      <c r="B212" s="183"/>
      <c r="C212" s="183"/>
      <c r="D212" s="183"/>
      <c r="E212" s="183"/>
    </row>
    <row r="213" spans="2:5" ht="14.25" customHeight="1">
      <c r="B213" s="183"/>
      <c r="C213" s="183"/>
      <c r="D213" s="183"/>
      <c r="E213" s="183"/>
    </row>
    <row r="214" spans="2:5" ht="14.25" customHeight="1">
      <c r="B214" s="183"/>
      <c r="C214" s="183"/>
      <c r="D214" s="183"/>
      <c r="E214" s="183"/>
    </row>
    <row r="215" spans="2:5" ht="14.25" customHeight="1">
      <c r="B215" s="183"/>
      <c r="C215" s="183"/>
      <c r="D215" s="183"/>
      <c r="E215" s="183"/>
    </row>
    <row r="216" spans="2:5" ht="14.25" customHeight="1">
      <c r="B216" s="183"/>
      <c r="C216" s="183"/>
      <c r="D216" s="183"/>
      <c r="E216" s="183"/>
    </row>
    <row r="217" spans="2:5" ht="14.25" customHeight="1">
      <c r="B217" s="183"/>
      <c r="C217" s="183"/>
      <c r="D217" s="183"/>
      <c r="E217" s="183"/>
    </row>
    <row r="218" spans="2:5" ht="14.25" customHeight="1">
      <c r="B218" s="183"/>
      <c r="C218" s="183"/>
      <c r="D218" s="183"/>
      <c r="E218" s="183"/>
    </row>
    <row r="219" spans="2:5" ht="14.25" customHeight="1">
      <c r="B219" s="183"/>
      <c r="C219" s="183"/>
      <c r="D219" s="183"/>
      <c r="E219" s="183"/>
    </row>
    <row r="220" spans="2:5" ht="14.25" customHeight="1">
      <c r="B220" s="183"/>
      <c r="C220" s="183"/>
      <c r="D220" s="183"/>
      <c r="E220" s="183"/>
    </row>
    <row r="221" spans="2:5" ht="14.25" customHeight="1">
      <c r="B221" s="183"/>
      <c r="C221" s="183"/>
      <c r="D221" s="183"/>
      <c r="E221" s="183"/>
    </row>
    <row r="222" spans="2:5" ht="14.25" customHeight="1">
      <c r="B222" s="183"/>
      <c r="C222" s="183"/>
      <c r="D222" s="183"/>
      <c r="E222" s="183"/>
    </row>
    <row r="223" spans="2:5" ht="14.25" customHeight="1">
      <c r="B223" s="183"/>
      <c r="C223" s="183"/>
      <c r="D223" s="183"/>
      <c r="E223" s="183"/>
    </row>
    <row r="224" spans="2:5" ht="14.25" customHeight="1">
      <c r="B224" s="183"/>
      <c r="C224" s="183"/>
      <c r="D224" s="183"/>
      <c r="E224" s="183"/>
    </row>
    <row r="225" spans="2:5" ht="14.25" customHeight="1">
      <c r="B225" s="183"/>
      <c r="C225" s="183"/>
      <c r="D225" s="183"/>
      <c r="E225" s="183"/>
    </row>
    <row r="226" spans="2:5" ht="14.25" customHeight="1">
      <c r="B226" s="183"/>
      <c r="C226" s="183"/>
      <c r="D226" s="183"/>
      <c r="E226" s="183"/>
    </row>
    <row r="227" spans="2:5" ht="14.25" customHeight="1">
      <c r="B227" s="183"/>
      <c r="C227" s="183"/>
      <c r="D227" s="183"/>
      <c r="E227" s="183"/>
    </row>
    <row r="228" spans="2:5" ht="14.25" customHeight="1">
      <c r="B228" s="183"/>
      <c r="C228" s="183"/>
      <c r="D228" s="183"/>
      <c r="E228" s="183"/>
    </row>
    <row r="229" spans="2:5" ht="14.25" customHeight="1">
      <c r="B229" s="183"/>
      <c r="C229" s="183"/>
      <c r="D229" s="183"/>
      <c r="E229" s="183"/>
    </row>
    <row r="230" spans="2:5" ht="14.25" customHeight="1">
      <c r="B230" s="183"/>
      <c r="C230" s="183"/>
      <c r="D230" s="183"/>
      <c r="E230" s="183"/>
    </row>
    <row r="231" spans="2:5" ht="14.25" customHeight="1">
      <c r="B231" s="183"/>
      <c r="C231" s="183"/>
      <c r="D231" s="183"/>
      <c r="E231" s="183"/>
    </row>
    <row r="232" spans="2:5" ht="14.25" customHeight="1">
      <c r="B232" s="183"/>
      <c r="C232" s="183"/>
      <c r="D232" s="183"/>
      <c r="E232" s="183"/>
    </row>
    <row r="233" spans="2:5" ht="14.25" customHeight="1">
      <c r="B233" s="183"/>
      <c r="C233" s="183"/>
      <c r="D233" s="183"/>
      <c r="E233" s="183"/>
    </row>
    <row r="234" spans="2:5" ht="14.25" customHeight="1">
      <c r="B234" s="183"/>
      <c r="C234" s="183"/>
      <c r="D234" s="183"/>
      <c r="E234" s="183"/>
    </row>
    <row r="235" spans="2:5" ht="14.25" customHeight="1">
      <c r="B235" s="183"/>
      <c r="C235" s="183"/>
      <c r="D235" s="183"/>
      <c r="E235" s="183"/>
    </row>
    <row r="236" spans="2:5" ht="14.25" customHeight="1">
      <c r="B236" s="183"/>
      <c r="C236" s="183"/>
      <c r="D236" s="183"/>
      <c r="E236" s="183"/>
    </row>
    <row r="237" spans="2:5" ht="14.25" customHeight="1">
      <c r="B237" s="183"/>
      <c r="C237" s="183"/>
      <c r="D237" s="183"/>
      <c r="E237" s="183"/>
    </row>
    <row r="238" spans="2:5" ht="14.25" customHeight="1">
      <c r="B238" s="183"/>
      <c r="C238" s="183"/>
      <c r="D238" s="183"/>
      <c r="E238" s="183"/>
    </row>
    <row r="239" spans="2:5" ht="14.25" customHeight="1">
      <c r="B239" s="183"/>
      <c r="C239" s="183"/>
      <c r="D239" s="183"/>
      <c r="E239" s="183"/>
    </row>
    <row r="240" spans="2:5" ht="14.25" customHeight="1">
      <c r="B240" s="183"/>
      <c r="C240" s="183"/>
      <c r="D240" s="183"/>
      <c r="E240" s="183"/>
    </row>
    <row r="241" spans="2:5" ht="14.25" customHeight="1">
      <c r="B241" s="183"/>
      <c r="C241" s="183"/>
      <c r="D241" s="183"/>
      <c r="E241" s="183"/>
    </row>
    <row r="242" spans="2:5" ht="14.25" customHeight="1">
      <c r="B242" s="183"/>
      <c r="C242" s="183"/>
      <c r="D242" s="183"/>
      <c r="E242" s="183"/>
    </row>
    <row r="243" spans="2:5" ht="14.25" customHeight="1">
      <c r="B243" s="183"/>
      <c r="C243" s="183"/>
      <c r="D243" s="183"/>
      <c r="E243" s="183"/>
    </row>
    <row r="244" spans="2:5" ht="14.25" customHeight="1">
      <c r="B244" s="183"/>
      <c r="C244" s="183"/>
      <c r="D244" s="183"/>
      <c r="E244" s="183"/>
    </row>
    <row r="245" spans="2:5" ht="14.25" customHeight="1">
      <c r="B245" s="183"/>
      <c r="C245" s="183"/>
      <c r="D245" s="183"/>
      <c r="E245" s="183"/>
    </row>
    <row r="246" spans="2:5" ht="14.25" customHeight="1">
      <c r="B246" s="183"/>
      <c r="C246" s="183"/>
      <c r="D246" s="183"/>
      <c r="E246" s="183"/>
    </row>
    <row r="247" spans="2:5" ht="14.25" customHeight="1">
      <c r="B247" s="183"/>
      <c r="C247" s="183"/>
      <c r="D247" s="183"/>
      <c r="E247" s="183"/>
    </row>
    <row r="248" spans="2:5" ht="14.25" customHeight="1">
      <c r="B248" s="183"/>
      <c r="C248" s="183"/>
      <c r="D248" s="183"/>
      <c r="E248" s="183"/>
    </row>
    <row r="249" spans="2:5" ht="14.25" customHeight="1">
      <c r="B249" s="183"/>
      <c r="C249" s="183"/>
      <c r="D249" s="183"/>
      <c r="E249" s="183"/>
    </row>
    <row r="250" spans="2:5" ht="14.25" customHeight="1">
      <c r="B250" s="183"/>
      <c r="C250" s="183"/>
      <c r="D250" s="183"/>
      <c r="E250" s="183"/>
    </row>
    <row r="251" spans="2:5" ht="14.25" customHeight="1">
      <c r="B251" s="183"/>
      <c r="C251" s="183"/>
      <c r="D251" s="183"/>
      <c r="E251" s="183"/>
    </row>
    <row r="252" spans="2:5" ht="14.25" customHeight="1">
      <c r="B252" s="183"/>
      <c r="C252" s="183"/>
      <c r="D252" s="183"/>
      <c r="E252" s="183"/>
    </row>
    <row r="253" spans="2:5" ht="14.25" customHeight="1">
      <c r="B253" s="183"/>
      <c r="C253" s="183"/>
      <c r="D253" s="183"/>
      <c r="E253" s="183"/>
    </row>
    <row r="254" spans="2:5" ht="14.25" customHeight="1">
      <c r="B254" s="183"/>
      <c r="C254" s="183"/>
      <c r="D254" s="183"/>
      <c r="E254" s="183"/>
    </row>
    <row r="255" spans="2:5" ht="14.25" customHeight="1">
      <c r="B255" s="183"/>
      <c r="C255" s="183"/>
      <c r="D255" s="183"/>
      <c r="E255" s="183"/>
    </row>
    <row r="256" spans="2:5" ht="14.25" customHeight="1">
      <c r="B256" s="183"/>
      <c r="C256" s="183"/>
      <c r="D256" s="183"/>
      <c r="E256" s="183"/>
    </row>
    <row r="257" spans="2:5" ht="14.25" customHeight="1">
      <c r="B257" s="183"/>
      <c r="C257" s="183"/>
      <c r="D257" s="183"/>
      <c r="E257" s="183"/>
    </row>
    <row r="258" spans="2:5" ht="14.25" customHeight="1">
      <c r="B258" s="183"/>
      <c r="C258" s="183"/>
      <c r="D258" s="183"/>
      <c r="E258" s="183"/>
    </row>
    <row r="259" spans="2:5" ht="14.25" customHeight="1">
      <c r="B259" s="183"/>
      <c r="C259" s="183"/>
      <c r="D259" s="183"/>
      <c r="E259" s="183"/>
    </row>
    <row r="260" spans="2:5" ht="14.25" customHeight="1">
      <c r="B260" s="183"/>
      <c r="C260" s="183"/>
      <c r="D260" s="183"/>
      <c r="E260" s="183"/>
    </row>
    <row r="261" spans="2:5" ht="14.25" customHeight="1">
      <c r="B261" s="183"/>
      <c r="C261" s="183"/>
      <c r="D261" s="183"/>
      <c r="E261" s="183"/>
    </row>
    <row r="262" spans="2:5" ht="14.25" customHeight="1">
      <c r="B262" s="183"/>
      <c r="C262" s="183"/>
      <c r="D262" s="183"/>
      <c r="E262" s="183"/>
    </row>
    <row r="263" spans="2:5" ht="14.25" customHeight="1">
      <c r="B263" s="183"/>
      <c r="C263" s="183"/>
      <c r="D263" s="183"/>
      <c r="E263" s="183"/>
    </row>
    <row r="264" spans="2:5" ht="14.25" customHeight="1">
      <c r="B264" s="183"/>
      <c r="C264" s="183"/>
      <c r="D264" s="183"/>
      <c r="E264" s="183"/>
    </row>
    <row r="265" spans="2:5" ht="14.25" customHeight="1">
      <c r="B265" s="183"/>
      <c r="C265" s="183"/>
      <c r="D265" s="183"/>
      <c r="E265" s="183"/>
    </row>
    <row r="266" spans="2:5" ht="14.25" customHeight="1">
      <c r="B266" s="183"/>
      <c r="C266" s="183"/>
      <c r="D266" s="183"/>
      <c r="E266" s="183"/>
    </row>
    <row r="267" spans="2:5" ht="14.25" customHeight="1">
      <c r="B267" s="183"/>
      <c r="C267" s="183"/>
      <c r="D267" s="183"/>
      <c r="E267" s="183"/>
    </row>
    <row r="268" spans="2:5" ht="14.25" customHeight="1">
      <c r="B268" s="183"/>
      <c r="C268" s="183"/>
      <c r="D268" s="183"/>
      <c r="E268" s="183"/>
    </row>
    <row r="269" spans="2:5" ht="14.25" customHeight="1">
      <c r="B269" s="183"/>
      <c r="C269" s="183"/>
      <c r="D269" s="183"/>
      <c r="E269" s="183"/>
    </row>
    <row r="270" spans="2:5" ht="14.25" customHeight="1">
      <c r="B270" s="183"/>
      <c r="C270" s="183"/>
      <c r="D270" s="183"/>
      <c r="E270" s="183"/>
    </row>
    <row r="271" spans="2:5" ht="14.25" customHeight="1">
      <c r="B271" s="183"/>
      <c r="C271" s="183"/>
      <c r="D271" s="183"/>
      <c r="E271" s="183"/>
    </row>
    <row r="272" spans="2:5" ht="14.25" customHeight="1">
      <c r="B272" s="183"/>
      <c r="C272" s="183"/>
      <c r="D272" s="183"/>
      <c r="E272" s="183"/>
    </row>
    <row r="273" spans="2:5" ht="14.25" customHeight="1">
      <c r="B273" s="183"/>
      <c r="C273" s="183"/>
      <c r="D273" s="183"/>
      <c r="E273" s="183"/>
    </row>
    <row r="274" spans="2:5" ht="14.25" customHeight="1">
      <c r="B274" s="183"/>
      <c r="C274" s="183"/>
      <c r="D274" s="183"/>
      <c r="E274" s="183"/>
    </row>
    <row r="275" spans="2:5" ht="14.25" customHeight="1">
      <c r="B275" s="183"/>
      <c r="C275" s="183"/>
      <c r="D275" s="183"/>
      <c r="E275" s="183"/>
    </row>
    <row r="276" spans="2:5" ht="14.25" customHeight="1">
      <c r="B276" s="183"/>
      <c r="C276" s="183"/>
      <c r="D276" s="183"/>
      <c r="E276" s="183"/>
    </row>
    <row r="277" spans="2:5" ht="14.25" customHeight="1">
      <c r="B277" s="183"/>
      <c r="C277" s="183"/>
      <c r="D277" s="183"/>
      <c r="E277" s="183"/>
    </row>
    <row r="278" spans="2:5" ht="14.25" customHeight="1">
      <c r="B278" s="183"/>
      <c r="C278" s="183"/>
      <c r="D278" s="183"/>
      <c r="E278" s="183"/>
    </row>
    <row r="279" spans="2:5" ht="14.25" customHeight="1">
      <c r="B279" s="183"/>
      <c r="C279" s="183"/>
      <c r="D279" s="183"/>
      <c r="E279" s="183"/>
    </row>
    <row r="280" spans="2:5" ht="14.25" customHeight="1">
      <c r="B280" s="183"/>
      <c r="C280" s="183"/>
      <c r="D280" s="183"/>
      <c r="E280" s="183"/>
    </row>
    <row r="281" spans="2:5" ht="14.25" customHeight="1">
      <c r="B281" s="183"/>
      <c r="C281" s="183"/>
      <c r="D281" s="183"/>
      <c r="E281" s="183"/>
    </row>
    <row r="282" spans="2:5" ht="14.25" customHeight="1">
      <c r="B282" s="183"/>
      <c r="C282" s="183"/>
      <c r="D282" s="183"/>
      <c r="E282" s="183"/>
    </row>
    <row r="283" spans="2:5" ht="14.25" customHeight="1">
      <c r="B283" s="183"/>
      <c r="C283" s="183"/>
      <c r="D283" s="183"/>
      <c r="E283" s="183"/>
    </row>
    <row r="284" spans="2:5" ht="14.25" customHeight="1">
      <c r="B284" s="183"/>
      <c r="C284" s="183"/>
      <c r="D284" s="183"/>
      <c r="E284" s="183"/>
    </row>
    <row r="285" spans="2:5" ht="14.25" customHeight="1">
      <c r="B285" s="183"/>
      <c r="C285" s="183"/>
      <c r="D285" s="183"/>
      <c r="E285" s="183"/>
    </row>
    <row r="286" spans="2:5" ht="14.25" customHeight="1">
      <c r="B286" s="183"/>
      <c r="C286" s="183"/>
      <c r="D286" s="183"/>
      <c r="E286" s="183"/>
    </row>
    <row r="287" spans="2:5" ht="14.25" customHeight="1">
      <c r="B287" s="183"/>
      <c r="C287" s="183"/>
      <c r="D287" s="183"/>
      <c r="E287" s="183"/>
    </row>
    <row r="288" spans="2:5" ht="14.25" customHeight="1">
      <c r="B288" s="183"/>
      <c r="C288" s="183"/>
      <c r="D288" s="183"/>
      <c r="E288" s="183"/>
    </row>
    <row r="289" spans="2:5" ht="14.25" customHeight="1">
      <c r="B289" s="183"/>
      <c r="C289" s="183"/>
      <c r="D289" s="183"/>
      <c r="E289" s="183"/>
    </row>
    <row r="290" spans="2:5" ht="14.25" customHeight="1">
      <c r="B290" s="183"/>
      <c r="C290" s="183"/>
      <c r="D290" s="183"/>
      <c r="E290" s="183"/>
    </row>
    <row r="291" spans="2:5" ht="14.25" customHeight="1">
      <c r="B291" s="183"/>
      <c r="C291" s="183"/>
      <c r="D291" s="183"/>
      <c r="E291" s="183"/>
    </row>
    <row r="292" spans="2:5" ht="14.25" customHeight="1">
      <c r="B292" s="183"/>
      <c r="C292" s="183"/>
      <c r="D292" s="183"/>
      <c r="E292" s="183"/>
    </row>
    <row r="293" spans="2:5" ht="14.25" customHeight="1">
      <c r="B293" s="183"/>
      <c r="C293" s="183"/>
      <c r="D293" s="183"/>
      <c r="E293" s="183"/>
    </row>
    <row r="294" spans="2:5" ht="14.25" customHeight="1">
      <c r="B294" s="183"/>
      <c r="C294" s="183"/>
      <c r="D294" s="183"/>
      <c r="E294" s="183"/>
    </row>
    <row r="295" spans="2:5" ht="14.25" customHeight="1">
      <c r="B295" s="183"/>
      <c r="C295" s="183"/>
      <c r="D295" s="183"/>
      <c r="E295" s="183"/>
    </row>
    <row r="296" spans="2:5" ht="14.25" customHeight="1">
      <c r="B296" s="183"/>
      <c r="C296" s="183"/>
      <c r="D296" s="183"/>
      <c r="E296" s="183"/>
    </row>
    <row r="297" spans="2:5" ht="14.25" customHeight="1">
      <c r="B297" s="183"/>
      <c r="C297" s="183"/>
      <c r="D297" s="183"/>
      <c r="E297" s="183"/>
    </row>
    <row r="298" spans="2:5" ht="14.25" customHeight="1">
      <c r="B298" s="183"/>
      <c r="C298" s="183"/>
      <c r="D298" s="183"/>
      <c r="E298" s="183"/>
    </row>
    <row r="299" spans="2:5" ht="14.25" customHeight="1">
      <c r="B299" s="183"/>
      <c r="C299" s="183"/>
      <c r="D299" s="183"/>
      <c r="E299" s="183"/>
    </row>
    <row r="300" spans="2:5" ht="14.25" customHeight="1">
      <c r="B300" s="183"/>
      <c r="C300" s="183"/>
      <c r="D300" s="183"/>
      <c r="E300" s="183"/>
    </row>
    <row r="301" spans="2:5" ht="14.25" customHeight="1">
      <c r="B301" s="183"/>
      <c r="C301" s="183"/>
      <c r="D301" s="183"/>
      <c r="E301" s="183"/>
    </row>
    <row r="302" spans="2:5" ht="14.25" customHeight="1">
      <c r="B302" s="183"/>
      <c r="C302" s="183"/>
      <c r="D302" s="183"/>
      <c r="E302" s="183"/>
    </row>
    <row r="303" spans="2:5" ht="14.25" customHeight="1">
      <c r="B303" s="183"/>
      <c r="C303" s="183"/>
      <c r="D303" s="183"/>
      <c r="E303" s="183"/>
    </row>
    <row r="304" spans="2:5" ht="14.25" customHeight="1">
      <c r="B304" s="183"/>
      <c r="C304" s="183"/>
      <c r="D304" s="183"/>
      <c r="E304" s="183"/>
    </row>
    <row r="305" spans="2:5" ht="14.25" customHeight="1">
      <c r="B305" s="183"/>
      <c r="C305" s="183"/>
      <c r="D305" s="183"/>
      <c r="E305" s="183"/>
    </row>
    <row r="306" spans="2:5" ht="14.25" customHeight="1">
      <c r="B306" s="183"/>
      <c r="C306" s="183"/>
      <c r="D306" s="183"/>
      <c r="E306" s="183"/>
    </row>
    <row r="307" spans="2:5" ht="14.25" customHeight="1">
      <c r="B307" s="183"/>
      <c r="C307" s="183"/>
      <c r="D307" s="183"/>
      <c r="E307" s="183"/>
    </row>
    <row r="308" spans="2:5" ht="14.25" customHeight="1">
      <c r="B308" s="183"/>
      <c r="C308" s="183"/>
      <c r="D308" s="183"/>
      <c r="E308" s="183"/>
    </row>
    <row r="309" spans="2:5" ht="14.25" customHeight="1">
      <c r="B309" s="183"/>
      <c r="C309" s="183"/>
      <c r="D309" s="183"/>
      <c r="E309" s="183"/>
    </row>
    <row r="310" spans="2:5" ht="14.25" customHeight="1">
      <c r="B310" s="183"/>
      <c r="C310" s="183"/>
      <c r="D310" s="183"/>
      <c r="E310" s="183"/>
    </row>
    <row r="311" spans="2:5" ht="14.25" customHeight="1">
      <c r="B311" s="183"/>
      <c r="C311" s="183"/>
      <c r="D311" s="183"/>
      <c r="E311" s="183"/>
    </row>
    <row r="312" spans="2:5" ht="14.25" customHeight="1">
      <c r="B312" s="183"/>
      <c r="C312" s="183"/>
      <c r="D312" s="183"/>
      <c r="E312" s="183"/>
    </row>
    <row r="313" spans="2:5" ht="14.25" customHeight="1">
      <c r="B313" s="183"/>
      <c r="C313" s="183"/>
      <c r="D313" s="183"/>
      <c r="E313" s="183"/>
    </row>
    <row r="314" spans="2:5" ht="14.25" customHeight="1">
      <c r="B314" s="183"/>
      <c r="C314" s="183"/>
      <c r="D314" s="183"/>
      <c r="E314" s="183"/>
    </row>
    <row r="315" spans="2:5" ht="14.25" customHeight="1">
      <c r="B315" s="183"/>
      <c r="C315" s="183"/>
      <c r="D315" s="183"/>
      <c r="E315" s="183"/>
    </row>
    <row r="316" spans="2:5" ht="14.25" customHeight="1">
      <c r="B316" s="183"/>
      <c r="C316" s="183"/>
      <c r="D316" s="183"/>
      <c r="E316" s="183"/>
    </row>
    <row r="317" spans="2:5" ht="14.25" customHeight="1">
      <c r="B317" s="183"/>
      <c r="C317" s="183"/>
      <c r="D317" s="183"/>
      <c r="E317" s="183"/>
    </row>
    <row r="318" spans="2:5" ht="14.25" customHeight="1">
      <c r="B318" s="183"/>
      <c r="C318" s="183"/>
      <c r="D318" s="183"/>
      <c r="E318" s="183"/>
    </row>
    <row r="319" spans="2:5" ht="14.25" customHeight="1">
      <c r="B319" s="183"/>
      <c r="C319" s="183"/>
      <c r="D319" s="183"/>
      <c r="E319" s="183"/>
    </row>
    <row r="320" spans="2:5" ht="14.25" customHeight="1">
      <c r="B320" s="183"/>
      <c r="C320" s="183"/>
      <c r="D320" s="183"/>
      <c r="E320" s="183"/>
    </row>
    <row r="321" spans="2:5" ht="14.25" customHeight="1">
      <c r="B321" s="183"/>
      <c r="C321" s="183"/>
      <c r="D321" s="183"/>
      <c r="E321" s="183"/>
    </row>
    <row r="322" spans="2:5" ht="14.25" customHeight="1">
      <c r="B322" s="183"/>
      <c r="C322" s="183"/>
      <c r="D322" s="183"/>
      <c r="E322" s="183"/>
    </row>
    <row r="323" spans="2:5" ht="14.25" customHeight="1">
      <c r="B323" s="183"/>
      <c r="C323" s="183"/>
      <c r="D323" s="183"/>
      <c r="E323" s="183"/>
    </row>
    <row r="324" spans="2:5" ht="14.25" customHeight="1">
      <c r="B324" s="183"/>
      <c r="C324" s="183"/>
      <c r="D324" s="183"/>
      <c r="E324" s="183"/>
    </row>
    <row r="325" spans="2:5" ht="14.25" customHeight="1">
      <c r="B325" s="183"/>
      <c r="C325" s="183"/>
      <c r="D325" s="183"/>
      <c r="E325" s="183"/>
    </row>
    <row r="326" spans="2:5" ht="14.25" customHeight="1">
      <c r="B326" s="183"/>
      <c r="C326" s="183"/>
      <c r="D326" s="183"/>
      <c r="E326" s="183"/>
    </row>
    <row r="327" spans="2:5" ht="14.25" customHeight="1">
      <c r="B327" s="183"/>
      <c r="C327" s="183"/>
      <c r="D327" s="183"/>
      <c r="E327" s="183"/>
    </row>
    <row r="328" spans="2:5" ht="14.25" customHeight="1">
      <c r="B328" s="183"/>
      <c r="C328" s="183"/>
      <c r="D328" s="183"/>
      <c r="E328" s="183"/>
    </row>
    <row r="329" spans="2:5" ht="14.25" customHeight="1">
      <c r="B329" s="183"/>
      <c r="C329" s="183"/>
      <c r="D329" s="183"/>
      <c r="E329" s="183"/>
    </row>
    <row r="330" spans="2:5" ht="14.25" customHeight="1">
      <c r="B330" s="183"/>
      <c r="C330" s="183"/>
      <c r="D330" s="183"/>
      <c r="E330" s="183"/>
    </row>
    <row r="331" spans="2:5" ht="14.25" customHeight="1">
      <c r="B331" s="183"/>
      <c r="C331" s="183"/>
      <c r="D331" s="183"/>
      <c r="E331" s="183"/>
    </row>
    <row r="332" spans="2:5" ht="14.25" customHeight="1">
      <c r="B332" s="183"/>
      <c r="C332" s="183"/>
      <c r="D332" s="183"/>
      <c r="E332" s="183"/>
    </row>
    <row r="333" spans="2:5" ht="14.25" customHeight="1">
      <c r="B333" s="183"/>
      <c r="C333" s="183"/>
      <c r="D333" s="183"/>
      <c r="E333" s="183"/>
    </row>
    <row r="334" spans="2:5" ht="14.25" customHeight="1">
      <c r="B334" s="183"/>
      <c r="C334" s="183"/>
      <c r="D334" s="183"/>
      <c r="E334" s="183"/>
    </row>
    <row r="335" spans="2:5" ht="14.25" customHeight="1">
      <c r="B335" s="183"/>
      <c r="C335" s="183"/>
      <c r="D335" s="183"/>
      <c r="E335" s="183"/>
    </row>
    <row r="336" spans="2:5" ht="14.25" customHeight="1">
      <c r="B336" s="183"/>
      <c r="C336" s="183"/>
      <c r="D336" s="183"/>
      <c r="E336" s="183"/>
    </row>
    <row r="337" spans="2:5" ht="14.25" customHeight="1">
      <c r="B337" s="183"/>
      <c r="C337" s="183"/>
      <c r="D337" s="183"/>
      <c r="E337" s="183"/>
    </row>
    <row r="338" spans="2:5" ht="14.25" customHeight="1">
      <c r="B338" s="183"/>
      <c r="C338" s="183"/>
      <c r="D338" s="183"/>
      <c r="E338" s="183"/>
    </row>
    <row r="339" spans="2:5" ht="14.25" customHeight="1">
      <c r="B339" s="183"/>
      <c r="C339" s="183"/>
      <c r="D339" s="183"/>
      <c r="E339" s="183"/>
    </row>
    <row r="340" spans="2:5" ht="14.25" customHeight="1">
      <c r="B340" s="183"/>
      <c r="C340" s="183"/>
      <c r="D340" s="183"/>
      <c r="E340" s="183"/>
    </row>
    <row r="341" spans="2:5" ht="14.25" customHeight="1">
      <c r="B341" s="183"/>
      <c r="C341" s="183"/>
      <c r="D341" s="183"/>
      <c r="E341" s="183"/>
    </row>
    <row r="342" spans="2:5" ht="14.25" customHeight="1">
      <c r="B342" s="183"/>
      <c r="C342" s="183"/>
      <c r="D342" s="183"/>
      <c r="E342" s="183"/>
    </row>
    <row r="343" spans="2:5" ht="14.25" customHeight="1">
      <c r="B343" s="183"/>
      <c r="C343" s="183"/>
      <c r="D343" s="183"/>
      <c r="E343" s="183"/>
    </row>
    <row r="344" spans="2:5" ht="14.25" customHeight="1">
      <c r="B344" s="183"/>
      <c r="C344" s="183"/>
      <c r="D344" s="183"/>
      <c r="E344" s="183"/>
    </row>
    <row r="345" spans="2:5" ht="14.25" customHeight="1">
      <c r="B345" s="183"/>
      <c r="C345" s="183"/>
      <c r="D345" s="183"/>
      <c r="E345" s="183"/>
    </row>
    <row r="346" spans="2:5" ht="14.25" customHeight="1">
      <c r="B346" s="183"/>
      <c r="C346" s="183"/>
      <c r="D346" s="183"/>
      <c r="E346" s="183"/>
    </row>
    <row r="347" spans="2:5" ht="14.25" customHeight="1">
      <c r="B347" s="183"/>
      <c r="C347" s="183"/>
      <c r="D347" s="183"/>
      <c r="E347" s="183"/>
    </row>
    <row r="348" spans="2:5" ht="14.25" customHeight="1">
      <c r="B348" s="183"/>
      <c r="C348" s="183"/>
      <c r="D348" s="183"/>
      <c r="E348" s="183"/>
    </row>
    <row r="349" spans="2:5" ht="14.25" customHeight="1">
      <c r="B349" s="183"/>
      <c r="C349" s="183"/>
      <c r="D349" s="183"/>
      <c r="E349" s="183"/>
    </row>
    <row r="350" spans="2:5" ht="14.25" customHeight="1">
      <c r="B350" s="183"/>
      <c r="C350" s="183"/>
      <c r="D350" s="183"/>
      <c r="E350" s="183"/>
    </row>
    <row r="351" spans="2:5" ht="14.25" customHeight="1">
      <c r="B351" s="183"/>
      <c r="C351" s="183"/>
      <c r="D351" s="183"/>
      <c r="E351" s="183"/>
    </row>
    <row r="352" spans="2:5" ht="14.25" customHeight="1">
      <c r="B352" s="183"/>
      <c r="C352" s="183"/>
      <c r="D352" s="183"/>
      <c r="E352" s="183"/>
    </row>
    <row r="353" spans="2:5" ht="14.25" customHeight="1">
      <c r="B353" s="183"/>
      <c r="C353" s="183"/>
      <c r="D353" s="183"/>
      <c r="E353" s="183"/>
    </row>
    <row r="354" spans="2:5" ht="14.25" customHeight="1">
      <c r="B354" s="183"/>
      <c r="C354" s="183"/>
      <c r="D354" s="183"/>
      <c r="E354" s="183"/>
    </row>
    <row r="355" spans="2:5" ht="14.25" customHeight="1">
      <c r="B355" s="183"/>
      <c r="C355" s="183"/>
      <c r="D355" s="183"/>
      <c r="E355" s="183"/>
    </row>
    <row r="356" spans="2:5" ht="14.25" customHeight="1">
      <c r="B356" s="183"/>
      <c r="C356" s="183"/>
      <c r="D356" s="183"/>
      <c r="E356" s="183"/>
    </row>
    <row r="357" spans="2:5" ht="14.25" customHeight="1">
      <c r="B357" s="183"/>
      <c r="C357" s="183"/>
      <c r="D357" s="183"/>
      <c r="E357" s="183"/>
    </row>
    <row r="358" spans="2:5" ht="14.25" customHeight="1">
      <c r="B358" s="183"/>
      <c r="C358" s="183"/>
      <c r="D358" s="183"/>
      <c r="E358" s="183"/>
    </row>
    <row r="359" spans="2:5" ht="14.25" customHeight="1">
      <c r="B359" s="183"/>
      <c r="C359" s="183"/>
      <c r="D359" s="183"/>
      <c r="E359" s="183"/>
    </row>
    <row r="360" spans="2:5" ht="14.25" customHeight="1">
      <c r="B360" s="183"/>
      <c r="C360" s="183"/>
      <c r="D360" s="183"/>
      <c r="E360" s="183"/>
    </row>
    <row r="361" spans="2:5" ht="14.25" customHeight="1">
      <c r="B361" s="183"/>
      <c r="C361" s="183"/>
      <c r="D361" s="183"/>
      <c r="E361" s="183"/>
    </row>
    <row r="362" spans="2:5" ht="14.25" customHeight="1">
      <c r="B362" s="183"/>
      <c r="C362" s="183"/>
      <c r="D362" s="183"/>
      <c r="E362" s="183"/>
    </row>
    <row r="363" spans="2:5" ht="14.25" customHeight="1">
      <c r="B363" s="183"/>
      <c r="C363" s="183"/>
      <c r="D363" s="183"/>
      <c r="E363" s="183"/>
    </row>
    <row r="364" spans="2:5" ht="14.25" customHeight="1">
      <c r="B364" s="183"/>
      <c r="C364" s="183"/>
      <c r="D364" s="183"/>
      <c r="E364" s="183"/>
    </row>
    <row r="365" spans="2:5" ht="14.25" customHeight="1">
      <c r="B365" s="183"/>
      <c r="C365" s="183"/>
      <c r="D365" s="183"/>
      <c r="E365" s="183"/>
    </row>
    <row r="366" spans="2:5" ht="14.25" customHeight="1">
      <c r="B366" s="183"/>
      <c r="C366" s="183"/>
      <c r="D366" s="183"/>
      <c r="E366" s="183"/>
    </row>
    <row r="367" spans="2:5" ht="14.25" customHeight="1">
      <c r="B367" s="183"/>
      <c r="C367" s="183"/>
      <c r="D367" s="183"/>
      <c r="E367" s="183"/>
    </row>
    <row r="368" spans="2:5" ht="14.25" customHeight="1">
      <c r="B368" s="183"/>
      <c r="C368" s="183"/>
      <c r="D368" s="183"/>
      <c r="E368" s="183"/>
    </row>
    <row r="369" spans="2:5" ht="14.25" customHeight="1">
      <c r="B369" s="183"/>
      <c r="C369" s="183"/>
      <c r="D369" s="183"/>
      <c r="E369" s="183"/>
    </row>
    <row r="370" spans="2:5" ht="14.25" customHeight="1">
      <c r="B370" s="183"/>
      <c r="C370" s="183"/>
      <c r="D370" s="183"/>
      <c r="E370" s="183"/>
    </row>
    <row r="371" spans="2:5" ht="14.25" customHeight="1">
      <c r="B371" s="183"/>
      <c r="C371" s="183"/>
      <c r="D371" s="183"/>
      <c r="E371" s="183"/>
    </row>
    <row r="372" spans="2:5" ht="14.25" customHeight="1">
      <c r="B372" s="183"/>
      <c r="C372" s="183"/>
      <c r="D372" s="183"/>
      <c r="E372" s="183"/>
    </row>
    <row r="373" spans="2:5" ht="14.25" customHeight="1">
      <c r="B373" s="183"/>
      <c r="C373" s="183"/>
      <c r="D373" s="183"/>
      <c r="E373" s="183"/>
    </row>
    <row r="374" spans="2:5" ht="14.25" customHeight="1">
      <c r="B374" s="183"/>
      <c r="C374" s="183"/>
      <c r="D374" s="183"/>
      <c r="E374" s="183"/>
    </row>
    <row r="375" spans="2:5" ht="14.25" customHeight="1">
      <c r="B375" s="183"/>
      <c r="C375" s="183"/>
      <c r="D375" s="183"/>
      <c r="E375" s="183"/>
    </row>
    <row r="376" spans="2:5" ht="14.25" customHeight="1">
      <c r="B376" s="183"/>
      <c r="C376" s="183"/>
      <c r="D376" s="183"/>
      <c r="E376" s="183"/>
    </row>
    <row r="377" spans="2:5" ht="14.25" customHeight="1">
      <c r="B377" s="183"/>
      <c r="C377" s="183"/>
      <c r="D377" s="183"/>
      <c r="E377" s="183"/>
    </row>
    <row r="378" spans="2:5" ht="14.25" customHeight="1">
      <c r="B378" s="183"/>
      <c r="C378" s="183"/>
      <c r="D378" s="183"/>
      <c r="E378" s="183"/>
    </row>
    <row r="379" spans="2:5" ht="14.25" customHeight="1">
      <c r="B379" s="183"/>
      <c r="C379" s="183"/>
      <c r="D379" s="183"/>
      <c r="E379" s="183"/>
    </row>
    <row r="380" spans="2:5" ht="14.25" customHeight="1">
      <c r="B380" s="183"/>
      <c r="C380" s="183"/>
      <c r="D380" s="183"/>
      <c r="E380" s="183"/>
    </row>
    <row r="381" spans="2:5" ht="14.25" customHeight="1">
      <c r="B381" s="183"/>
      <c r="C381" s="183"/>
      <c r="D381" s="183"/>
      <c r="E381" s="183"/>
    </row>
    <row r="382" spans="2:5" ht="14.25" customHeight="1">
      <c r="B382" s="183"/>
      <c r="C382" s="183"/>
      <c r="D382" s="183"/>
      <c r="E382" s="183"/>
    </row>
    <row r="383" spans="2:5" ht="14.25" customHeight="1">
      <c r="B383" s="183"/>
      <c r="C383" s="183"/>
      <c r="D383" s="183"/>
      <c r="E383" s="183"/>
    </row>
    <row r="384" spans="2:5" ht="14.25" customHeight="1">
      <c r="B384" s="183"/>
      <c r="C384" s="183"/>
      <c r="D384" s="183"/>
      <c r="E384" s="183"/>
    </row>
    <row r="385" spans="2:5" ht="14.25" customHeight="1">
      <c r="B385" s="183"/>
      <c r="C385" s="183"/>
      <c r="D385" s="183"/>
      <c r="E385" s="183"/>
    </row>
    <row r="386" spans="2:5" ht="14.25" customHeight="1">
      <c r="B386" s="183"/>
      <c r="C386" s="183"/>
      <c r="D386" s="183"/>
      <c r="E386" s="183"/>
    </row>
    <row r="387" spans="2:5" ht="14.25" customHeight="1">
      <c r="B387" s="183"/>
      <c r="C387" s="183"/>
      <c r="D387" s="183"/>
      <c r="E387" s="183"/>
    </row>
    <row r="388" spans="2:5" ht="14.25" customHeight="1">
      <c r="B388" s="183"/>
      <c r="C388" s="183"/>
      <c r="D388" s="183"/>
      <c r="E388" s="183"/>
    </row>
    <row r="389" spans="2:5" ht="14.25" customHeight="1">
      <c r="B389" s="183"/>
      <c r="C389" s="183"/>
      <c r="D389" s="183"/>
      <c r="E389" s="183"/>
    </row>
    <row r="390" spans="2:5" ht="14.25" customHeight="1">
      <c r="B390" s="183"/>
      <c r="C390" s="183"/>
      <c r="D390" s="183"/>
      <c r="E390" s="183"/>
    </row>
    <row r="391" spans="2:5" ht="14.25" customHeight="1">
      <c r="B391" s="183"/>
      <c r="C391" s="183"/>
      <c r="D391" s="183"/>
      <c r="E391" s="183"/>
    </row>
    <row r="392" spans="2:5" ht="14.25" customHeight="1">
      <c r="B392" s="183"/>
      <c r="C392" s="183"/>
      <c r="D392" s="183"/>
      <c r="E392" s="183"/>
    </row>
    <row r="393" spans="2:5" ht="14.25" customHeight="1">
      <c r="B393" s="183"/>
      <c r="C393" s="183"/>
      <c r="D393" s="183"/>
      <c r="E393" s="183"/>
    </row>
    <row r="394" spans="2:5" ht="14.25" customHeight="1">
      <c r="B394" s="183"/>
      <c r="C394" s="183"/>
      <c r="D394" s="183"/>
      <c r="E394" s="183"/>
    </row>
    <row r="395" spans="2:5" ht="14.25" customHeight="1">
      <c r="B395" s="183"/>
      <c r="C395" s="183"/>
      <c r="D395" s="183"/>
      <c r="E395" s="183"/>
    </row>
    <row r="396" spans="2:5" ht="14.25" customHeight="1">
      <c r="B396" s="183"/>
      <c r="C396" s="183"/>
      <c r="D396" s="183"/>
      <c r="E396" s="183"/>
    </row>
    <row r="397" spans="2:5" ht="14.25" customHeight="1">
      <c r="B397" s="183"/>
      <c r="C397" s="183"/>
      <c r="D397" s="183"/>
      <c r="E397" s="183"/>
    </row>
    <row r="398" spans="2:5" ht="14.25" customHeight="1">
      <c r="B398" s="183"/>
      <c r="C398" s="183"/>
      <c r="D398" s="183"/>
      <c r="E398" s="183"/>
    </row>
    <row r="399" spans="2:5" ht="14.25" customHeight="1">
      <c r="B399" s="183"/>
      <c r="C399" s="183"/>
      <c r="D399" s="183"/>
      <c r="E399" s="183"/>
    </row>
    <row r="400" spans="2:5" ht="14.25" customHeight="1">
      <c r="B400" s="183"/>
      <c r="C400" s="183"/>
      <c r="D400" s="183"/>
      <c r="E400" s="183"/>
    </row>
    <row r="401" spans="2:5" ht="14.25" customHeight="1">
      <c r="B401" s="183"/>
      <c r="C401" s="183"/>
      <c r="D401" s="183"/>
      <c r="E401" s="183"/>
    </row>
    <row r="402" spans="2:5" ht="14.25" customHeight="1">
      <c r="B402" s="183"/>
      <c r="C402" s="183"/>
      <c r="D402" s="183"/>
      <c r="E402" s="183"/>
    </row>
    <row r="403" spans="2:5" ht="14.25" customHeight="1">
      <c r="B403" s="183"/>
      <c r="C403" s="183"/>
      <c r="D403" s="183"/>
      <c r="E403" s="183"/>
    </row>
    <row r="404" spans="2:5" ht="14.25" customHeight="1">
      <c r="B404" s="183"/>
      <c r="C404" s="183"/>
      <c r="D404" s="183"/>
      <c r="E404" s="183"/>
    </row>
    <row r="405" spans="2:5" ht="14.25" customHeight="1">
      <c r="B405" s="183"/>
      <c r="C405" s="183"/>
      <c r="D405" s="183"/>
      <c r="E405" s="183"/>
    </row>
    <row r="406" spans="2:5" ht="14.25" customHeight="1">
      <c r="B406" s="183"/>
      <c r="C406" s="183"/>
      <c r="D406" s="183"/>
      <c r="E406" s="183"/>
    </row>
    <row r="407" spans="2:5" ht="14.25" customHeight="1">
      <c r="B407" s="183"/>
      <c r="C407" s="183"/>
      <c r="D407" s="183"/>
      <c r="E407" s="183"/>
    </row>
    <row r="408" spans="2:5" ht="14.25" customHeight="1">
      <c r="B408" s="183"/>
      <c r="C408" s="183"/>
      <c r="D408" s="183"/>
      <c r="E408" s="183"/>
    </row>
    <row r="409" spans="2:5" ht="14.25" customHeight="1">
      <c r="B409" s="183"/>
      <c r="C409" s="183"/>
      <c r="D409" s="183"/>
      <c r="E409" s="183"/>
    </row>
    <row r="410" spans="2:5" ht="14.25" customHeight="1">
      <c r="B410" s="183"/>
      <c r="C410" s="183"/>
      <c r="D410" s="183"/>
      <c r="E410" s="183"/>
    </row>
    <row r="411" spans="2:5" ht="14.25" customHeight="1">
      <c r="B411" s="183"/>
      <c r="C411" s="183"/>
      <c r="D411" s="183"/>
      <c r="E411" s="183"/>
    </row>
    <row r="412" spans="2:5" ht="14.25" customHeight="1">
      <c r="B412" s="183"/>
      <c r="C412" s="183"/>
      <c r="D412" s="183"/>
      <c r="E412" s="183"/>
    </row>
    <row r="413" spans="2:5" ht="14.25" customHeight="1">
      <c r="B413" s="183"/>
      <c r="C413" s="183"/>
      <c r="D413" s="183"/>
      <c r="E413" s="183"/>
    </row>
    <row r="414" spans="2:5" ht="14.25" customHeight="1">
      <c r="B414" s="183"/>
      <c r="C414" s="183"/>
      <c r="D414" s="183"/>
      <c r="E414" s="183"/>
    </row>
    <row r="415" spans="2:5" ht="14.25" customHeight="1">
      <c r="B415" s="183"/>
      <c r="C415" s="183"/>
      <c r="D415" s="183"/>
      <c r="E415" s="183"/>
    </row>
    <row r="416" spans="2:5" ht="14.25" customHeight="1">
      <c r="B416" s="183"/>
      <c r="C416" s="183"/>
      <c r="D416" s="183"/>
      <c r="E416" s="183"/>
    </row>
    <row r="417" spans="2:5" ht="14.25" customHeight="1">
      <c r="B417" s="183"/>
      <c r="C417" s="183"/>
      <c r="D417" s="183"/>
      <c r="E417" s="183"/>
    </row>
    <row r="418" spans="2:5" ht="14.25" customHeight="1">
      <c r="B418" s="183"/>
      <c r="C418" s="183"/>
      <c r="D418" s="183"/>
      <c r="E418" s="183"/>
    </row>
    <row r="419" spans="2:5" ht="14.25" customHeight="1">
      <c r="B419" s="183"/>
      <c r="C419" s="183"/>
      <c r="D419" s="183"/>
      <c r="E419" s="183"/>
    </row>
    <row r="420" spans="2:5" ht="14.25" customHeight="1">
      <c r="B420" s="183"/>
      <c r="C420" s="183"/>
      <c r="D420" s="183"/>
      <c r="E420" s="183"/>
    </row>
    <row r="421" spans="2:5" ht="14.25" customHeight="1">
      <c r="B421" s="183"/>
      <c r="C421" s="183"/>
      <c r="D421" s="183"/>
      <c r="E421" s="183"/>
    </row>
    <row r="422" spans="2:5" ht="14.25" customHeight="1">
      <c r="B422" s="183"/>
      <c r="C422" s="183"/>
      <c r="D422" s="183"/>
      <c r="E422" s="183"/>
    </row>
    <row r="423" spans="2:5" ht="14.25" customHeight="1">
      <c r="B423" s="183"/>
      <c r="C423" s="183"/>
      <c r="D423" s="183"/>
      <c r="E423" s="183"/>
    </row>
    <row r="424" spans="2:5" ht="14.25" customHeight="1">
      <c r="B424" s="183"/>
      <c r="C424" s="183"/>
      <c r="D424" s="183"/>
      <c r="E424" s="183"/>
    </row>
    <row r="425" spans="2:5" ht="14.25" customHeight="1">
      <c r="B425" s="183"/>
      <c r="C425" s="183"/>
      <c r="D425" s="183"/>
      <c r="E425" s="183"/>
    </row>
    <row r="426" spans="2:5" ht="14.25" customHeight="1">
      <c r="B426" s="183"/>
      <c r="C426" s="183"/>
      <c r="D426" s="183"/>
      <c r="E426" s="183"/>
    </row>
    <row r="427" spans="2:5" ht="14.25" customHeight="1">
      <c r="B427" s="183"/>
      <c r="C427" s="183"/>
      <c r="D427" s="183"/>
      <c r="E427" s="183"/>
    </row>
    <row r="428" spans="2:5" ht="14.25" customHeight="1">
      <c r="B428" s="183"/>
      <c r="C428" s="183"/>
      <c r="D428" s="183"/>
      <c r="E428" s="183"/>
    </row>
    <row r="429" spans="2:5" ht="14.25" customHeight="1">
      <c r="B429" s="183"/>
      <c r="C429" s="183"/>
      <c r="D429" s="183"/>
      <c r="E429" s="183"/>
    </row>
    <row r="430" spans="2:5" ht="14.25" customHeight="1">
      <c r="B430" s="183"/>
      <c r="C430" s="183"/>
      <c r="D430" s="183"/>
      <c r="E430" s="183"/>
    </row>
    <row r="431" spans="2:5" ht="14.25" customHeight="1">
      <c r="B431" s="183"/>
      <c r="C431" s="183"/>
      <c r="D431" s="183"/>
      <c r="E431" s="183"/>
    </row>
    <row r="432" spans="2:5" ht="14.25" customHeight="1">
      <c r="B432" s="183"/>
      <c r="C432" s="183"/>
      <c r="D432" s="183"/>
      <c r="E432" s="183"/>
    </row>
    <row r="433" spans="2:5" ht="14.25" customHeight="1">
      <c r="B433" s="183"/>
      <c r="C433" s="183"/>
      <c r="D433" s="183"/>
      <c r="E433" s="183"/>
    </row>
    <row r="434" spans="2:5" ht="14.25" customHeight="1">
      <c r="B434" s="183"/>
      <c r="C434" s="183"/>
      <c r="D434" s="183"/>
      <c r="E434" s="183"/>
    </row>
    <row r="435" spans="2:5" ht="14.25" customHeight="1">
      <c r="B435" s="183"/>
      <c r="C435" s="183"/>
      <c r="D435" s="183"/>
      <c r="E435" s="183"/>
    </row>
    <row r="436" spans="2:5" ht="14.25" customHeight="1">
      <c r="B436" s="183"/>
      <c r="C436" s="183"/>
      <c r="D436" s="183"/>
      <c r="E436" s="183"/>
    </row>
    <row r="437" spans="2:5" ht="14.25" customHeight="1">
      <c r="B437" s="183"/>
      <c r="C437" s="183"/>
      <c r="D437" s="183"/>
      <c r="E437" s="183"/>
    </row>
    <row r="438" spans="2:5" ht="14.25" customHeight="1">
      <c r="B438" s="183"/>
      <c r="C438" s="183"/>
      <c r="D438" s="183"/>
      <c r="E438" s="183"/>
    </row>
    <row r="439" spans="2:5" ht="14.25" customHeight="1">
      <c r="B439" s="183"/>
      <c r="C439" s="183"/>
      <c r="D439" s="183"/>
      <c r="E439" s="183"/>
    </row>
    <row r="440" spans="2:5" ht="14.25" customHeight="1">
      <c r="B440" s="183"/>
      <c r="C440" s="183"/>
      <c r="D440" s="183"/>
      <c r="E440" s="183"/>
    </row>
    <row r="441" spans="2:5" ht="14.25" customHeight="1">
      <c r="B441" s="183"/>
      <c r="C441" s="183"/>
      <c r="D441" s="183"/>
      <c r="E441" s="183"/>
    </row>
    <row r="442" spans="2:5" ht="14.25" customHeight="1">
      <c r="B442" s="183"/>
      <c r="C442" s="183"/>
      <c r="D442" s="183"/>
      <c r="E442" s="183"/>
    </row>
    <row r="443" spans="2:5" ht="14.25" customHeight="1">
      <c r="B443" s="183"/>
      <c r="C443" s="183"/>
      <c r="D443" s="183"/>
      <c r="E443" s="183"/>
    </row>
    <row r="444" spans="2:5" ht="14.25" customHeight="1">
      <c r="B444" s="183"/>
      <c r="C444" s="183"/>
      <c r="D444" s="183"/>
      <c r="E444" s="183"/>
    </row>
    <row r="445" spans="2:5" ht="14.25" customHeight="1">
      <c r="B445" s="183"/>
      <c r="C445" s="183"/>
      <c r="D445" s="183"/>
      <c r="E445" s="183"/>
    </row>
    <row r="446" spans="2:5" ht="14.25" customHeight="1">
      <c r="B446" s="183"/>
      <c r="C446" s="183"/>
      <c r="D446" s="183"/>
      <c r="E446" s="183"/>
    </row>
    <row r="447" spans="2:5" ht="14.25" customHeight="1">
      <c r="B447" s="183"/>
      <c r="C447" s="183"/>
      <c r="D447" s="183"/>
      <c r="E447" s="183"/>
    </row>
    <row r="448" spans="2:5" ht="14.25" customHeight="1">
      <c r="B448" s="183"/>
      <c r="C448" s="183"/>
      <c r="D448" s="183"/>
      <c r="E448" s="183"/>
    </row>
    <row r="449" spans="2:5" ht="14.25" customHeight="1">
      <c r="B449" s="183"/>
      <c r="C449" s="183"/>
      <c r="D449" s="183"/>
      <c r="E449" s="183"/>
    </row>
    <row r="450" spans="2:5" ht="14.25" customHeight="1">
      <c r="B450" s="183"/>
      <c r="C450" s="183"/>
      <c r="D450" s="183"/>
      <c r="E450" s="183"/>
    </row>
    <row r="451" spans="2:5" ht="14.25" customHeight="1">
      <c r="B451" s="183"/>
      <c r="C451" s="183"/>
      <c r="D451" s="183"/>
      <c r="E451" s="183"/>
    </row>
    <row r="452" spans="2:5" ht="14.25" customHeight="1">
      <c r="B452" s="183"/>
      <c r="C452" s="183"/>
      <c r="D452" s="183"/>
      <c r="E452" s="183"/>
    </row>
    <row r="453" spans="2:5" ht="14.25" customHeight="1">
      <c r="B453" s="183"/>
      <c r="C453" s="183"/>
      <c r="D453" s="183"/>
      <c r="E453" s="183"/>
    </row>
    <row r="454" spans="2:5" ht="14.25" customHeight="1">
      <c r="B454" s="183"/>
      <c r="C454" s="183"/>
      <c r="D454" s="183"/>
      <c r="E454" s="183"/>
    </row>
    <row r="455" spans="2:5" ht="14.25" customHeight="1">
      <c r="B455" s="183"/>
      <c r="C455" s="183"/>
      <c r="D455" s="183"/>
      <c r="E455" s="183"/>
    </row>
    <row r="456" spans="2:5" ht="14.25" customHeight="1">
      <c r="B456" s="183"/>
      <c r="C456" s="183"/>
      <c r="D456" s="183"/>
      <c r="E456" s="183"/>
    </row>
    <row r="457" spans="2:5" ht="14.25" customHeight="1">
      <c r="B457" s="183"/>
      <c r="C457" s="183"/>
      <c r="D457" s="183"/>
      <c r="E457" s="183"/>
    </row>
    <row r="458" spans="2:5" ht="14.25" customHeight="1">
      <c r="B458" s="183"/>
      <c r="C458" s="183"/>
      <c r="D458" s="183"/>
      <c r="E458" s="183"/>
    </row>
    <row r="459" spans="2:5" ht="14.25" customHeight="1">
      <c r="B459" s="183"/>
      <c r="C459" s="183"/>
      <c r="D459" s="183"/>
      <c r="E459" s="183"/>
    </row>
    <row r="460" spans="2:5" ht="14.25" customHeight="1">
      <c r="B460" s="183"/>
      <c r="C460" s="183"/>
      <c r="D460" s="183"/>
      <c r="E460" s="183"/>
    </row>
    <row r="461" spans="2:5" ht="14.25" customHeight="1">
      <c r="B461" s="183"/>
      <c r="C461" s="183"/>
      <c r="D461" s="183"/>
      <c r="E461" s="183"/>
    </row>
    <row r="462" spans="2:5" ht="14.25" customHeight="1">
      <c r="B462" s="183"/>
      <c r="C462" s="183"/>
      <c r="D462" s="183"/>
      <c r="E462" s="183"/>
    </row>
    <row r="463" spans="2:5" ht="14.25" customHeight="1">
      <c r="B463" s="183"/>
      <c r="C463" s="183"/>
      <c r="D463" s="183"/>
      <c r="E463" s="183"/>
    </row>
    <row r="464" spans="2:5" ht="14.25" customHeight="1">
      <c r="B464" s="183"/>
      <c r="C464" s="183"/>
      <c r="D464" s="183"/>
      <c r="E464" s="183"/>
    </row>
    <row r="465" spans="2:5" ht="14.25" customHeight="1">
      <c r="B465" s="183"/>
      <c r="C465" s="183"/>
      <c r="D465" s="183"/>
      <c r="E465" s="183"/>
    </row>
    <row r="466" spans="2:5" ht="14.25" customHeight="1">
      <c r="B466" s="183"/>
      <c r="C466" s="183"/>
      <c r="D466" s="183"/>
      <c r="E466" s="183"/>
    </row>
    <row r="467" spans="2:5" ht="14.25" customHeight="1">
      <c r="B467" s="183"/>
      <c r="C467" s="183"/>
      <c r="D467" s="183"/>
      <c r="E467" s="183"/>
    </row>
    <row r="468" spans="2:5" ht="14.25" customHeight="1">
      <c r="B468" s="183"/>
      <c r="C468" s="183"/>
      <c r="D468" s="183"/>
      <c r="E468" s="183"/>
    </row>
    <row r="469" spans="2:5" ht="14.25" customHeight="1">
      <c r="B469" s="183"/>
      <c r="C469" s="183"/>
      <c r="D469" s="183"/>
      <c r="E469" s="183"/>
    </row>
    <row r="470" spans="2:5" ht="14.25" customHeight="1">
      <c r="B470" s="183"/>
      <c r="C470" s="183"/>
      <c r="D470" s="183"/>
      <c r="E470" s="183"/>
    </row>
    <row r="471" spans="2:5" ht="14.25" customHeight="1">
      <c r="B471" s="183"/>
      <c r="C471" s="183"/>
      <c r="D471" s="183"/>
      <c r="E471" s="183"/>
    </row>
    <row r="472" spans="2:5" ht="14.25" customHeight="1">
      <c r="B472" s="183"/>
      <c r="C472" s="183"/>
      <c r="D472" s="183"/>
      <c r="E472" s="183"/>
    </row>
    <row r="473" spans="2:5" ht="14.25" customHeight="1">
      <c r="B473" s="183"/>
      <c r="C473" s="183"/>
      <c r="D473" s="183"/>
      <c r="E473" s="183"/>
    </row>
    <row r="474" spans="2:5" ht="14.25" customHeight="1">
      <c r="B474" s="183"/>
      <c r="C474" s="183"/>
      <c r="D474" s="183"/>
      <c r="E474" s="183"/>
    </row>
    <row r="475" spans="2:5" ht="14.25" customHeight="1">
      <c r="B475" s="183"/>
      <c r="C475" s="183"/>
      <c r="D475" s="183"/>
      <c r="E475" s="183"/>
    </row>
    <row r="476" spans="2:5" ht="14.25" customHeight="1">
      <c r="B476" s="183"/>
      <c r="C476" s="183"/>
      <c r="D476" s="183"/>
      <c r="E476" s="183"/>
    </row>
    <row r="477" spans="2:5" ht="14.25" customHeight="1">
      <c r="B477" s="183"/>
      <c r="C477" s="183"/>
      <c r="D477" s="183"/>
      <c r="E477" s="183"/>
    </row>
    <row r="478" spans="2:5" ht="14.25" customHeight="1">
      <c r="B478" s="183"/>
      <c r="C478" s="183"/>
      <c r="D478" s="183"/>
      <c r="E478" s="183"/>
    </row>
    <row r="479" spans="2:5" ht="14.25" customHeight="1">
      <c r="B479" s="183"/>
      <c r="C479" s="183"/>
      <c r="D479" s="183"/>
      <c r="E479" s="183"/>
    </row>
    <row r="480" spans="2:5" ht="14.25" customHeight="1">
      <c r="B480" s="183"/>
      <c r="C480" s="183"/>
      <c r="D480" s="183"/>
      <c r="E480" s="183"/>
    </row>
    <row r="481" spans="2:5" ht="14.25" customHeight="1">
      <c r="B481" s="183"/>
      <c r="C481" s="183"/>
      <c r="D481" s="183"/>
      <c r="E481" s="183"/>
    </row>
    <row r="482" spans="2:5" ht="14.25" customHeight="1">
      <c r="B482" s="183"/>
      <c r="C482" s="183"/>
      <c r="D482" s="183"/>
      <c r="E482" s="183"/>
    </row>
    <row r="483" spans="2:5" ht="14.25" customHeight="1">
      <c r="B483" s="183"/>
      <c r="C483" s="183"/>
      <c r="D483" s="183"/>
      <c r="E483" s="183"/>
    </row>
    <row r="484" spans="2:5" ht="14.25" customHeight="1">
      <c r="B484" s="183"/>
      <c r="C484" s="183"/>
      <c r="D484" s="183"/>
      <c r="E484" s="183"/>
    </row>
    <row r="485" spans="2:5" ht="14.25" customHeight="1">
      <c r="B485" s="183"/>
      <c r="C485" s="183"/>
      <c r="D485" s="183"/>
      <c r="E485" s="183"/>
    </row>
    <row r="486" spans="2:5" ht="14.25" customHeight="1">
      <c r="B486" s="183"/>
      <c r="C486" s="183"/>
      <c r="D486" s="183"/>
      <c r="E486" s="183"/>
    </row>
    <row r="487" spans="2:5" ht="14.25" customHeight="1">
      <c r="B487" s="183"/>
      <c r="C487" s="183"/>
      <c r="D487" s="183"/>
      <c r="E487" s="183"/>
    </row>
    <row r="488" spans="2:5" ht="14.25" customHeight="1">
      <c r="B488" s="183"/>
      <c r="C488" s="183"/>
      <c r="D488" s="183"/>
      <c r="E488" s="183"/>
    </row>
    <row r="489" spans="2:5" ht="14.25" customHeight="1">
      <c r="B489" s="183"/>
      <c r="C489" s="183"/>
      <c r="D489" s="183"/>
      <c r="E489" s="183"/>
    </row>
    <row r="490" spans="2:5" ht="14.25" customHeight="1">
      <c r="B490" s="183"/>
      <c r="C490" s="183"/>
      <c r="D490" s="183"/>
      <c r="E490" s="183"/>
    </row>
    <row r="491" spans="2:5" ht="14.25" customHeight="1">
      <c r="B491" s="183"/>
      <c r="C491" s="183"/>
      <c r="D491" s="183"/>
      <c r="E491" s="183"/>
    </row>
    <row r="492" spans="2:5" ht="14.25" customHeight="1">
      <c r="B492" s="183"/>
      <c r="C492" s="183"/>
      <c r="D492" s="183"/>
      <c r="E492" s="183"/>
    </row>
    <row r="493" spans="2:5" ht="14.25" customHeight="1">
      <c r="B493" s="183"/>
      <c r="C493" s="183"/>
      <c r="D493" s="183"/>
      <c r="E493" s="183"/>
    </row>
    <row r="494" spans="2:5" ht="14.25" customHeight="1">
      <c r="B494" s="183"/>
      <c r="C494" s="183"/>
      <c r="D494" s="183"/>
      <c r="E494" s="183"/>
    </row>
    <row r="495" spans="2:5" ht="14.25" customHeight="1">
      <c r="B495" s="183"/>
      <c r="C495" s="183"/>
      <c r="D495" s="183"/>
      <c r="E495" s="183"/>
    </row>
    <row r="496" spans="2:5" ht="14.25" customHeight="1">
      <c r="B496" s="183"/>
      <c r="C496" s="183"/>
      <c r="D496" s="183"/>
      <c r="E496" s="183"/>
    </row>
    <row r="497" spans="2:5" ht="14.25" customHeight="1">
      <c r="B497" s="183"/>
      <c r="C497" s="183"/>
      <c r="D497" s="183"/>
      <c r="E497" s="183"/>
    </row>
    <row r="498" spans="2:5" ht="14.25" customHeight="1">
      <c r="B498" s="183"/>
      <c r="C498" s="183"/>
      <c r="D498" s="183"/>
      <c r="E498" s="183"/>
    </row>
    <row r="499" spans="2:5" ht="14.25" customHeight="1">
      <c r="B499" s="183"/>
      <c r="C499" s="183"/>
      <c r="D499" s="183"/>
      <c r="E499" s="183"/>
    </row>
    <row r="500" spans="2:5" ht="14.25" customHeight="1">
      <c r="B500" s="183"/>
      <c r="C500" s="183"/>
      <c r="D500" s="183"/>
      <c r="E500" s="183"/>
    </row>
    <row r="501" spans="2:5" ht="14.25" customHeight="1">
      <c r="B501" s="183"/>
      <c r="C501" s="183"/>
      <c r="D501" s="183"/>
      <c r="E501" s="183"/>
    </row>
    <row r="502" spans="2:5" ht="14.25" customHeight="1">
      <c r="B502" s="183"/>
      <c r="C502" s="183"/>
      <c r="D502" s="183"/>
      <c r="E502" s="183"/>
    </row>
    <row r="503" spans="2:5" ht="14.25" customHeight="1">
      <c r="B503" s="183"/>
      <c r="C503" s="183"/>
      <c r="D503" s="183"/>
      <c r="E503" s="183"/>
    </row>
    <row r="504" spans="2:5" ht="14.25" customHeight="1">
      <c r="B504" s="183"/>
      <c r="C504" s="183"/>
      <c r="D504" s="183"/>
      <c r="E504" s="183"/>
    </row>
    <row r="505" spans="2:5" ht="14.25" customHeight="1">
      <c r="B505" s="183"/>
      <c r="C505" s="183"/>
      <c r="D505" s="183"/>
      <c r="E505" s="183"/>
    </row>
    <row r="506" spans="2:5" ht="14.25" customHeight="1">
      <c r="B506" s="183"/>
      <c r="C506" s="183"/>
      <c r="D506" s="183"/>
      <c r="E506" s="183"/>
    </row>
    <row r="507" spans="2:5" ht="14.25" customHeight="1">
      <c r="B507" s="183"/>
      <c r="C507" s="183"/>
      <c r="D507" s="183"/>
      <c r="E507" s="183"/>
    </row>
    <row r="508" spans="2:5" ht="14.25" customHeight="1">
      <c r="B508" s="183"/>
      <c r="C508" s="183"/>
      <c r="D508" s="183"/>
      <c r="E508" s="183"/>
    </row>
    <row r="509" spans="2:5" ht="14.25" customHeight="1">
      <c r="B509" s="183"/>
      <c r="C509" s="183"/>
      <c r="D509" s="183"/>
      <c r="E509" s="183"/>
    </row>
    <row r="510" spans="2:5" ht="14.25" customHeight="1">
      <c r="B510" s="183"/>
      <c r="C510" s="183"/>
      <c r="D510" s="183"/>
      <c r="E510" s="183"/>
    </row>
    <row r="511" spans="2:5" ht="14.25" customHeight="1">
      <c r="B511" s="183"/>
      <c r="C511" s="183"/>
      <c r="D511" s="183"/>
      <c r="E511" s="183"/>
    </row>
    <row r="512" spans="2:5" ht="14.25" customHeight="1">
      <c r="B512" s="183"/>
      <c r="C512" s="183"/>
      <c r="D512" s="183"/>
      <c r="E512" s="183"/>
    </row>
    <row r="513" spans="2:5" ht="14.25" customHeight="1">
      <c r="B513" s="183"/>
      <c r="C513" s="183"/>
      <c r="D513" s="183"/>
      <c r="E513" s="183"/>
    </row>
    <row r="514" spans="2:5" ht="14.25" customHeight="1">
      <c r="B514" s="183"/>
      <c r="C514" s="183"/>
      <c r="D514" s="183"/>
      <c r="E514" s="183"/>
    </row>
    <row r="515" spans="2:5" ht="14.25" customHeight="1">
      <c r="B515" s="183"/>
      <c r="C515" s="183"/>
      <c r="D515" s="183"/>
      <c r="E515" s="183"/>
    </row>
    <row r="516" spans="2:5" ht="14.25" customHeight="1">
      <c r="B516" s="183"/>
      <c r="C516" s="183"/>
      <c r="D516" s="183"/>
      <c r="E516" s="183"/>
    </row>
    <row r="517" spans="2:5" ht="14.25" customHeight="1">
      <c r="B517" s="183"/>
      <c r="C517" s="183"/>
      <c r="D517" s="183"/>
      <c r="E517" s="183"/>
    </row>
    <row r="518" spans="2:5" ht="14.25" customHeight="1">
      <c r="B518" s="183"/>
      <c r="C518" s="183"/>
      <c r="D518" s="183"/>
      <c r="E518" s="183"/>
    </row>
    <row r="519" spans="2:5" ht="14.25" customHeight="1">
      <c r="B519" s="183"/>
      <c r="C519" s="183"/>
      <c r="D519" s="183"/>
      <c r="E519" s="183"/>
    </row>
    <row r="520" spans="2:5" ht="14.25" customHeight="1">
      <c r="B520" s="183"/>
      <c r="C520" s="183"/>
      <c r="D520" s="183"/>
      <c r="E520" s="183"/>
    </row>
    <row r="521" spans="2:5" ht="14.25" customHeight="1">
      <c r="B521" s="183"/>
      <c r="C521" s="183"/>
      <c r="D521" s="183"/>
      <c r="E521" s="183"/>
    </row>
    <row r="522" spans="2:5" ht="14.25" customHeight="1">
      <c r="B522" s="183"/>
      <c r="C522" s="183"/>
      <c r="D522" s="183"/>
      <c r="E522" s="183"/>
    </row>
    <row r="523" spans="2:5" ht="14.25" customHeight="1">
      <c r="B523" s="183"/>
      <c r="C523" s="183"/>
      <c r="D523" s="183"/>
      <c r="E523" s="183"/>
    </row>
    <row r="524" spans="2:5" ht="14.25" customHeight="1">
      <c r="B524" s="183"/>
      <c r="C524" s="183"/>
      <c r="D524" s="183"/>
      <c r="E524" s="183"/>
    </row>
    <row r="525" spans="2:5" ht="14.25" customHeight="1">
      <c r="B525" s="183"/>
      <c r="C525" s="183"/>
      <c r="D525" s="183"/>
      <c r="E525" s="183"/>
    </row>
    <row r="526" spans="2:5" ht="14.25" customHeight="1">
      <c r="B526" s="183"/>
      <c r="C526" s="183"/>
      <c r="D526" s="183"/>
      <c r="E526" s="183"/>
    </row>
    <row r="527" spans="2:5" ht="14.25" customHeight="1">
      <c r="B527" s="183"/>
      <c r="C527" s="183"/>
      <c r="D527" s="183"/>
      <c r="E527" s="183"/>
    </row>
    <row r="528" spans="2:5" ht="14.25" customHeight="1">
      <c r="B528" s="183"/>
      <c r="C528" s="183"/>
      <c r="D528" s="183"/>
      <c r="E528" s="183"/>
    </row>
    <row r="529" spans="2:5" ht="14.25" customHeight="1">
      <c r="B529" s="183"/>
      <c r="C529" s="183"/>
      <c r="D529" s="183"/>
      <c r="E529" s="183"/>
    </row>
    <row r="530" spans="2:5" ht="14.25" customHeight="1">
      <c r="B530" s="183"/>
      <c r="C530" s="183"/>
      <c r="D530" s="183"/>
      <c r="E530" s="183"/>
    </row>
  </sheetData>
  <sheetProtection/>
  <autoFilter ref="A5:L69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7480314960629921" right="0.7480314960629921" top="0.4330708661417323" bottom="0.4330708661417323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74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2" sqref="F12"/>
    </sheetView>
  </sheetViews>
  <sheetFormatPr defaultColWidth="9.00390625" defaultRowHeight="14.25" customHeight="1"/>
  <cols>
    <col min="1" max="1" width="52.75390625" style="183" customWidth="1"/>
    <col min="2" max="2" width="12.625" style="187" customWidth="1"/>
    <col min="3" max="3" width="12.625" style="186" customWidth="1"/>
    <col min="4" max="4" width="12.625" style="186" hidden="1" customWidth="1"/>
    <col min="5" max="7" width="12.625" style="186" customWidth="1"/>
    <col min="8" max="16384" width="9.00390625" style="183" customWidth="1"/>
  </cols>
  <sheetData>
    <row r="1" ht="14.25" customHeight="1">
      <c r="A1" s="329" t="s">
        <v>39</v>
      </c>
    </row>
    <row r="2" spans="1:7" ht="30" customHeight="1">
      <c r="A2" s="363" t="s">
        <v>1291</v>
      </c>
      <c r="B2" s="363"/>
      <c r="C2" s="363"/>
      <c r="D2" s="363"/>
      <c r="E2" s="363"/>
      <c r="F2" s="363"/>
      <c r="G2" s="363"/>
    </row>
    <row r="3" spans="1:7" ht="15" customHeight="1">
      <c r="A3" s="330"/>
      <c r="B3" s="192"/>
      <c r="C3" s="193"/>
      <c r="D3" s="192"/>
      <c r="E3" s="193"/>
      <c r="F3" s="193"/>
      <c r="G3" s="331" t="s">
        <v>519</v>
      </c>
    </row>
    <row r="4" spans="1:7" s="332" customFormat="1" ht="19.5" customHeight="1">
      <c r="A4" s="364" t="s">
        <v>1474</v>
      </c>
      <c r="B4" s="366" t="s">
        <v>1285</v>
      </c>
      <c r="C4" s="364" t="s">
        <v>1286</v>
      </c>
      <c r="D4" s="368" t="s">
        <v>1287</v>
      </c>
      <c r="E4" s="364" t="s">
        <v>1288</v>
      </c>
      <c r="F4" s="364" t="s">
        <v>1289</v>
      </c>
      <c r="G4" s="364" t="s">
        <v>1290</v>
      </c>
    </row>
    <row r="5" spans="1:7" s="332" customFormat="1" ht="15" customHeight="1">
      <c r="A5" s="365"/>
      <c r="B5" s="367"/>
      <c r="C5" s="365"/>
      <c r="D5" s="368"/>
      <c r="E5" s="365"/>
      <c r="F5" s="365"/>
      <c r="G5" s="365"/>
    </row>
    <row r="6" spans="1:7" s="332" customFormat="1" ht="19.5" customHeight="1">
      <c r="A6" s="333" t="s">
        <v>691</v>
      </c>
      <c r="B6" s="194">
        <f>B7+B654+B655+B656+B657</f>
        <v>1156803</v>
      </c>
      <c r="C6" s="194">
        <f>C7+C654+C655+C656+C657</f>
        <v>1291403</v>
      </c>
      <c r="D6" s="194">
        <f>D7</f>
        <v>1361687</v>
      </c>
      <c r="E6" s="194">
        <f>E7</f>
        <v>987972</v>
      </c>
      <c r="F6" s="334">
        <f aca="true" t="shared" si="0" ref="F6:F68">IF(B6=0,0,E6/B6*100)</f>
        <v>85.41</v>
      </c>
      <c r="G6" s="334">
        <f aca="true" t="shared" si="1" ref="G6:G68">IF(E6=0,0,E6/C6*100)</f>
        <v>76.5</v>
      </c>
    </row>
    <row r="7" spans="1:7" s="332" customFormat="1" ht="19.5" customHeight="1">
      <c r="A7" s="335" t="s">
        <v>21</v>
      </c>
      <c r="B7" s="194">
        <f>B8+B211</f>
        <v>1055724</v>
      </c>
      <c r="C7" s="194">
        <f>C8+C211</f>
        <v>1180504</v>
      </c>
      <c r="D7" s="194">
        <f>D8+D211+D654+D737</f>
        <v>1361687</v>
      </c>
      <c r="E7" s="194">
        <f>E8+E211+E654</f>
        <v>987972</v>
      </c>
      <c r="F7" s="334">
        <f t="shared" si="0"/>
        <v>93.58</v>
      </c>
      <c r="G7" s="334">
        <f t="shared" si="1"/>
        <v>83.69</v>
      </c>
    </row>
    <row r="8" spans="1:7" s="332" customFormat="1" ht="19.5" customHeight="1">
      <c r="A8" s="335" t="s">
        <v>577</v>
      </c>
      <c r="B8" s="194">
        <f>B9+B57+B74+B94+B100+B114+B136+B159+B164+B173+B182+B185+B191+B195+B204+B209</f>
        <v>224134</v>
      </c>
      <c r="C8" s="194">
        <f>C9+C57+C74+C94+C100+C114+C136+C159+C164+C173+C182+C185+C191+C195+C204+C209+1</f>
        <v>242637</v>
      </c>
      <c r="D8" s="336">
        <v>242637</v>
      </c>
      <c r="E8" s="194">
        <f>E9+E57+E74+E94+E100+E114+E136+E159+E164+E173+E182+E185+E191+E195+E204+E209</f>
        <v>234439</v>
      </c>
      <c r="F8" s="334">
        <f t="shared" si="0"/>
        <v>104.6</v>
      </c>
      <c r="G8" s="334">
        <f t="shared" si="1"/>
        <v>96.62</v>
      </c>
    </row>
    <row r="9" spans="1:7" s="332" customFormat="1" ht="19.5" customHeight="1">
      <c r="A9" s="337" t="s">
        <v>578</v>
      </c>
      <c r="B9" s="194">
        <f>B10+B12+B14+B18+B21+B24+B27+B29+B32+B35+B37+B40+B43+B45+B48+B51+B53+B55</f>
        <v>20141</v>
      </c>
      <c r="C9" s="194">
        <f>C10+C12+C14+C18+C21+C24+C27+C29+C32+C35+C37+C40+C43+C45+C48+C51+C53+C55</f>
        <v>24923</v>
      </c>
      <c r="D9" s="336">
        <v>24897</v>
      </c>
      <c r="E9" s="194">
        <f>E10+E12+E14+E18+E21+E24+E27+E29+E32+E35+E37+E40+E43+E45+E48+E51+E53+E55</f>
        <v>24895</v>
      </c>
      <c r="F9" s="334">
        <f t="shared" si="0"/>
        <v>123.6</v>
      </c>
      <c r="G9" s="334">
        <f t="shared" si="1"/>
        <v>99.89</v>
      </c>
    </row>
    <row r="10" spans="1:7" s="332" customFormat="1" ht="19.5" customHeight="1">
      <c r="A10" s="337" t="s">
        <v>22</v>
      </c>
      <c r="B10" s="194">
        <f>B11</f>
        <v>1629</v>
      </c>
      <c r="C10" s="194">
        <f>C11</f>
        <v>999</v>
      </c>
      <c r="D10" s="336">
        <v>1004</v>
      </c>
      <c r="E10" s="194">
        <f>E11</f>
        <v>1004</v>
      </c>
      <c r="F10" s="334">
        <f t="shared" si="0"/>
        <v>61.63</v>
      </c>
      <c r="G10" s="334">
        <f t="shared" si="1"/>
        <v>100.5</v>
      </c>
    </row>
    <row r="11" spans="1:7" s="332" customFormat="1" ht="19.5" customHeight="1">
      <c r="A11" s="337" t="s">
        <v>23</v>
      </c>
      <c r="B11" s="195">
        <v>1629</v>
      </c>
      <c r="C11" s="196">
        <v>999</v>
      </c>
      <c r="D11" s="336">
        <v>1004</v>
      </c>
      <c r="E11" s="194">
        <v>1004</v>
      </c>
      <c r="F11" s="334">
        <f t="shared" si="0"/>
        <v>61.63</v>
      </c>
      <c r="G11" s="334">
        <f t="shared" si="1"/>
        <v>100.5</v>
      </c>
    </row>
    <row r="12" spans="1:7" s="332" customFormat="1" ht="19.5" customHeight="1">
      <c r="A12" s="337" t="s">
        <v>24</v>
      </c>
      <c r="B12" s="194">
        <f>B13</f>
        <v>728</v>
      </c>
      <c r="C12" s="194">
        <f>C13</f>
        <v>971</v>
      </c>
      <c r="D12" s="336">
        <v>985</v>
      </c>
      <c r="E12" s="194">
        <f>E13</f>
        <v>984</v>
      </c>
      <c r="F12" s="334">
        <f t="shared" si="0"/>
        <v>135.16</v>
      </c>
      <c r="G12" s="334">
        <f t="shared" si="1"/>
        <v>101.34</v>
      </c>
    </row>
    <row r="13" spans="1:7" s="332" customFormat="1" ht="19.5" customHeight="1">
      <c r="A13" s="337" t="s">
        <v>25</v>
      </c>
      <c r="B13" s="195">
        <v>728</v>
      </c>
      <c r="C13" s="196">
        <v>971</v>
      </c>
      <c r="D13" s="336">
        <v>985</v>
      </c>
      <c r="E13" s="194">
        <v>984</v>
      </c>
      <c r="F13" s="334">
        <f t="shared" si="0"/>
        <v>135.16</v>
      </c>
      <c r="G13" s="334">
        <f t="shared" si="1"/>
        <v>101.34</v>
      </c>
    </row>
    <row r="14" spans="1:7" s="332" customFormat="1" ht="19.5" customHeight="1">
      <c r="A14" s="337" t="s">
        <v>26</v>
      </c>
      <c r="B14" s="194">
        <f>B15+B16+B17</f>
        <v>7744</v>
      </c>
      <c r="C14" s="194">
        <f>C15+C16+C17</f>
        <v>9874</v>
      </c>
      <c r="D14" s="336">
        <v>9839</v>
      </c>
      <c r="E14" s="194">
        <f>E15+E16+E17</f>
        <v>9838</v>
      </c>
      <c r="F14" s="334">
        <f t="shared" si="0"/>
        <v>127.04</v>
      </c>
      <c r="G14" s="334">
        <f t="shared" si="1"/>
        <v>99.64</v>
      </c>
    </row>
    <row r="15" spans="1:7" s="332" customFormat="1" ht="19.5" customHeight="1">
      <c r="A15" s="337" t="s">
        <v>27</v>
      </c>
      <c r="B15" s="195">
        <v>6903</v>
      </c>
      <c r="C15" s="196">
        <v>8858</v>
      </c>
      <c r="D15" s="336">
        <v>8831</v>
      </c>
      <c r="E15" s="194">
        <v>8831</v>
      </c>
      <c r="F15" s="334">
        <f t="shared" si="0"/>
        <v>127.93</v>
      </c>
      <c r="G15" s="334">
        <f t="shared" si="1"/>
        <v>99.7</v>
      </c>
    </row>
    <row r="16" spans="1:7" s="332" customFormat="1" ht="19.5" customHeight="1">
      <c r="A16" s="337" t="s">
        <v>28</v>
      </c>
      <c r="B16" s="195">
        <v>262</v>
      </c>
      <c r="C16" s="196">
        <v>308</v>
      </c>
      <c r="D16" s="336">
        <v>298</v>
      </c>
      <c r="E16" s="194">
        <v>298</v>
      </c>
      <c r="F16" s="334">
        <f t="shared" si="0"/>
        <v>113.74</v>
      </c>
      <c r="G16" s="334">
        <f t="shared" si="1"/>
        <v>96.75</v>
      </c>
    </row>
    <row r="17" spans="1:7" s="332" customFormat="1" ht="19.5" customHeight="1">
      <c r="A17" s="337" t="s">
        <v>29</v>
      </c>
      <c r="B17" s="195">
        <v>579</v>
      </c>
      <c r="C17" s="196">
        <v>708</v>
      </c>
      <c r="D17" s="336">
        <v>709</v>
      </c>
      <c r="E17" s="194">
        <v>709</v>
      </c>
      <c r="F17" s="334">
        <f t="shared" si="0"/>
        <v>122.45</v>
      </c>
      <c r="G17" s="334">
        <f t="shared" si="1"/>
        <v>100.14</v>
      </c>
    </row>
    <row r="18" spans="1:7" s="332" customFormat="1" ht="19.5" customHeight="1">
      <c r="A18" s="337" t="s">
        <v>30</v>
      </c>
      <c r="B18" s="194">
        <f>B19+B20</f>
        <v>605</v>
      </c>
      <c r="C18" s="194">
        <f>C19+C20</f>
        <v>746</v>
      </c>
      <c r="D18" s="336">
        <v>745</v>
      </c>
      <c r="E18" s="194">
        <f>E19+E20</f>
        <v>745</v>
      </c>
      <c r="F18" s="334">
        <f t="shared" si="0"/>
        <v>123.14</v>
      </c>
      <c r="G18" s="334">
        <f t="shared" si="1"/>
        <v>99.87</v>
      </c>
    </row>
    <row r="19" spans="1:7" s="332" customFormat="1" ht="19.5" customHeight="1">
      <c r="A19" s="337" t="s">
        <v>31</v>
      </c>
      <c r="B19" s="195">
        <v>605</v>
      </c>
      <c r="C19" s="196">
        <v>746</v>
      </c>
      <c r="D19" s="336">
        <v>745</v>
      </c>
      <c r="E19" s="194">
        <v>745</v>
      </c>
      <c r="F19" s="334">
        <f t="shared" si="0"/>
        <v>123.14</v>
      </c>
      <c r="G19" s="334">
        <f t="shared" si="1"/>
        <v>99.87</v>
      </c>
    </row>
    <row r="20" spans="1:7" s="332" customFormat="1" ht="19.5" customHeight="1">
      <c r="A20" s="337" t="s">
        <v>32</v>
      </c>
      <c r="B20" s="194">
        <v>0</v>
      </c>
      <c r="C20" s="194">
        <v>0</v>
      </c>
      <c r="D20" s="338">
        <v>0</v>
      </c>
      <c r="E20" s="194">
        <v>0</v>
      </c>
      <c r="F20" s="334">
        <f t="shared" si="0"/>
        <v>0</v>
      </c>
      <c r="G20" s="334">
        <f t="shared" si="1"/>
        <v>0</v>
      </c>
    </row>
    <row r="21" spans="1:7" s="332" customFormat="1" ht="19.5" customHeight="1">
      <c r="A21" s="337" t="s">
        <v>33</v>
      </c>
      <c r="B21" s="194">
        <f>B22+B23</f>
        <v>906</v>
      </c>
      <c r="C21" s="194">
        <f>C22+C23</f>
        <v>972</v>
      </c>
      <c r="D21" s="336">
        <v>969</v>
      </c>
      <c r="E21" s="194">
        <f>E22+E23</f>
        <v>969</v>
      </c>
      <c r="F21" s="334">
        <f t="shared" si="0"/>
        <v>106.95</v>
      </c>
      <c r="G21" s="334">
        <f t="shared" si="1"/>
        <v>99.69</v>
      </c>
    </row>
    <row r="22" spans="1:7" s="332" customFormat="1" ht="19.5" customHeight="1">
      <c r="A22" s="337" t="s">
        <v>34</v>
      </c>
      <c r="B22" s="195">
        <v>869</v>
      </c>
      <c r="C22" s="196">
        <v>930</v>
      </c>
      <c r="D22" s="336">
        <v>927</v>
      </c>
      <c r="E22" s="194">
        <v>927</v>
      </c>
      <c r="F22" s="334">
        <f t="shared" si="0"/>
        <v>106.67</v>
      </c>
      <c r="G22" s="334">
        <f t="shared" si="1"/>
        <v>99.68</v>
      </c>
    </row>
    <row r="23" spans="1:7" s="332" customFormat="1" ht="19.5" customHeight="1">
      <c r="A23" s="337" t="s">
        <v>35</v>
      </c>
      <c r="B23" s="195">
        <v>37</v>
      </c>
      <c r="C23" s="196">
        <v>42</v>
      </c>
      <c r="D23" s="336">
        <v>42</v>
      </c>
      <c r="E23" s="194">
        <v>42</v>
      </c>
      <c r="F23" s="334">
        <f t="shared" si="0"/>
        <v>113.51</v>
      </c>
      <c r="G23" s="334">
        <f t="shared" si="1"/>
        <v>100</v>
      </c>
    </row>
    <row r="24" spans="1:7" s="332" customFormat="1" ht="19.5" customHeight="1">
      <c r="A24" s="337" t="s">
        <v>36</v>
      </c>
      <c r="B24" s="194">
        <f>B25+B26</f>
        <v>1256</v>
      </c>
      <c r="C24" s="194">
        <f>C25+C26</f>
        <v>1607</v>
      </c>
      <c r="D24" s="336">
        <v>1604</v>
      </c>
      <c r="E24" s="194">
        <f>E25+E26</f>
        <v>1604</v>
      </c>
      <c r="F24" s="334">
        <f t="shared" si="0"/>
        <v>127.71</v>
      </c>
      <c r="G24" s="334">
        <f t="shared" si="1"/>
        <v>99.81</v>
      </c>
    </row>
    <row r="25" spans="1:7" s="332" customFormat="1" ht="19.5" customHeight="1">
      <c r="A25" s="337" t="s">
        <v>100</v>
      </c>
      <c r="B25" s="195">
        <v>1115</v>
      </c>
      <c r="C25" s="196">
        <v>1421</v>
      </c>
      <c r="D25" s="336">
        <v>1417</v>
      </c>
      <c r="E25" s="194">
        <v>1417</v>
      </c>
      <c r="F25" s="334">
        <f t="shared" si="0"/>
        <v>127.09</v>
      </c>
      <c r="G25" s="334">
        <f t="shared" si="1"/>
        <v>99.72</v>
      </c>
    </row>
    <row r="26" spans="1:7" s="332" customFormat="1" ht="19.5" customHeight="1">
      <c r="A26" s="337" t="s">
        <v>101</v>
      </c>
      <c r="B26" s="195">
        <v>141</v>
      </c>
      <c r="C26" s="196">
        <v>186</v>
      </c>
      <c r="D26" s="339">
        <v>187</v>
      </c>
      <c r="E26" s="194">
        <v>187</v>
      </c>
      <c r="F26" s="334">
        <f t="shared" si="0"/>
        <v>132.62</v>
      </c>
      <c r="G26" s="334">
        <f t="shared" si="1"/>
        <v>100.54</v>
      </c>
    </row>
    <row r="27" spans="1:7" s="332" customFormat="1" ht="19.5" customHeight="1">
      <c r="A27" s="337" t="s">
        <v>102</v>
      </c>
      <c r="B27" s="194">
        <f>B28</f>
        <v>0</v>
      </c>
      <c r="C27" s="194">
        <f>C28</f>
        <v>0</v>
      </c>
      <c r="D27" s="340">
        <v>0</v>
      </c>
      <c r="E27" s="194">
        <f>E28</f>
        <v>0</v>
      </c>
      <c r="F27" s="334">
        <f t="shared" si="0"/>
        <v>0</v>
      </c>
      <c r="G27" s="334">
        <f t="shared" si="1"/>
        <v>0</v>
      </c>
    </row>
    <row r="28" spans="1:7" s="332" customFormat="1" ht="19.5" customHeight="1">
      <c r="A28" s="337" t="s">
        <v>103</v>
      </c>
      <c r="B28" s="194">
        <v>0</v>
      </c>
      <c r="C28" s="194">
        <v>0</v>
      </c>
      <c r="D28" s="340">
        <v>0</v>
      </c>
      <c r="E28" s="194">
        <v>0</v>
      </c>
      <c r="F28" s="334">
        <f t="shared" si="0"/>
        <v>0</v>
      </c>
      <c r="G28" s="334">
        <f t="shared" si="1"/>
        <v>0</v>
      </c>
    </row>
    <row r="29" spans="1:7" s="332" customFormat="1" ht="19.5" customHeight="1">
      <c r="A29" s="337" t="s">
        <v>104</v>
      </c>
      <c r="B29" s="194">
        <f>B30+B31</f>
        <v>811</v>
      </c>
      <c r="C29" s="194">
        <f>C30+C31-1</f>
        <v>994</v>
      </c>
      <c r="D29" s="341">
        <v>996</v>
      </c>
      <c r="E29" s="194">
        <f>E30+E31</f>
        <v>996</v>
      </c>
      <c r="F29" s="334">
        <f t="shared" si="0"/>
        <v>122.81</v>
      </c>
      <c r="G29" s="334">
        <f t="shared" si="1"/>
        <v>100.2</v>
      </c>
    </row>
    <row r="30" spans="1:7" s="332" customFormat="1" ht="19.5" customHeight="1">
      <c r="A30" s="337" t="s">
        <v>105</v>
      </c>
      <c r="B30" s="197">
        <v>691</v>
      </c>
      <c r="C30" s="196">
        <v>874</v>
      </c>
      <c r="D30" s="336">
        <v>874</v>
      </c>
      <c r="E30" s="194">
        <v>874</v>
      </c>
      <c r="F30" s="334">
        <f t="shared" si="0"/>
        <v>126.48</v>
      </c>
      <c r="G30" s="334">
        <f t="shared" si="1"/>
        <v>100</v>
      </c>
    </row>
    <row r="31" spans="1:7" s="332" customFormat="1" ht="19.5" customHeight="1">
      <c r="A31" s="337" t="s">
        <v>106</v>
      </c>
      <c r="B31" s="197">
        <v>120</v>
      </c>
      <c r="C31" s="196">
        <v>121</v>
      </c>
      <c r="D31" s="336">
        <v>122</v>
      </c>
      <c r="E31" s="194">
        <v>122</v>
      </c>
      <c r="F31" s="334">
        <f t="shared" si="0"/>
        <v>101.67</v>
      </c>
      <c r="G31" s="334">
        <f t="shared" si="1"/>
        <v>100.83</v>
      </c>
    </row>
    <row r="32" spans="1:7" s="332" customFormat="1" ht="19.5" customHeight="1">
      <c r="A32" s="337" t="s">
        <v>107</v>
      </c>
      <c r="B32" s="194">
        <f>B33+B34</f>
        <v>379</v>
      </c>
      <c r="C32" s="194">
        <f>C33+C34-1</f>
        <v>440</v>
      </c>
      <c r="D32" s="336">
        <v>448</v>
      </c>
      <c r="E32" s="194">
        <f>E33+E34</f>
        <v>448</v>
      </c>
      <c r="F32" s="334">
        <f t="shared" si="0"/>
        <v>118.21</v>
      </c>
      <c r="G32" s="334">
        <f t="shared" si="1"/>
        <v>101.82</v>
      </c>
    </row>
    <row r="33" spans="1:7" s="332" customFormat="1" ht="19.5" customHeight="1">
      <c r="A33" s="337" t="s">
        <v>108</v>
      </c>
      <c r="B33" s="197">
        <v>234</v>
      </c>
      <c r="C33" s="196">
        <v>279</v>
      </c>
      <c r="D33" s="336">
        <v>282</v>
      </c>
      <c r="E33" s="194">
        <v>282</v>
      </c>
      <c r="F33" s="334">
        <f t="shared" si="0"/>
        <v>120.51</v>
      </c>
      <c r="G33" s="334">
        <f t="shared" si="1"/>
        <v>101.08</v>
      </c>
    </row>
    <row r="34" spans="1:7" s="332" customFormat="1" ht="19.5" customHeight="1">
      <c r="A34" s="337" t="s">
        <v>109</v>
      </c>
      <c r="B34" s="197">
        <v>145</v>
      </c>
      <c r="C34" s="196">
        <v>162</v>
      </c>
      <c r="D34" s="336">
        <v>166</v>
      </c>
      <c r="E34" s="194">
        <v>166</v>
      </c>
      <c r="F34" s="334">
        <f t="shared" si="0"/>
        <v>114.48</v>
      </c>
      <c r="G34" s="334">
        <f t="shared" si="1"/>
        <v>102.47</v>
      </c>
    </row>
    <row r="35" spans="1:7" s="332" customFormat="1" ht="19.5" customHeight="1">
      <c r="A35" s="337" t="s">
        <v>110</v>
      </c>
      <c r="B35" s="194">
        <f>B36</f>
        <v>760</v>
      </c>
      <c r="C35" s="194">
        <f>C36</f>
        <v>1347</v>
      </c>
      <c r="D35" s="336">
        <v>1344</v>
      </c>
      <c r="E35" s="194">
        <f>E36</f>
        <v>1344</v>
      </c>
      <c r="F35" s="334">
        <f t="shared" si="0"/>
        <v>176.84</v>
      </c>
      <c r="G35" s="334">
        <f t="shared" si="1"/>
        <v>99.78</v>
      </c>
    </row>
    <row r="36" spans="1:7" s="332" customFormat="1" ht="19.5" customHeight="1">
      <c r="A36" s="337" t="s">
        <v>111</v>
      </c>
      <c r="B36" s="197">
        <v>760</v>
      </c>
      <c r="C36" s="196">
        <v>1347</v>
      </c>
      <c r="D36" s="336">
        <v>1344</v>
      </c>
      <c r="E36" s="194">
        <v>1344</v>
      </c>
      <c r="F36" s="334">
        <f t="shared" si="0"/>
        <v>176.84</v>
      </c>
      <c r="G36" s="334">
        <f t="shared" si="1"/>
        <v>99.78</v>
      </c>
    </row>
    <row r="37" spans="1:7" s="332" customFormat="1" ht="19.5" customHeight="1">
      <c r="A37" s="337" t="s">
        <v>112</v>
      </c>
      <c r="B37" s="194">
        <f>B38</f>
        <v>800</v>
      </c>
      <c r="C37" s="194">
        <f>C38</f>
        <v>995</v>
      </c>
      <c r="D37" s="336">
        <v>991</v>
      </c>
      <c r="E37" s="194">
        <f>E38</f>
        <v>991</v>
      </c>
      <c r="F37" s="334">
        <f t="shared" si="0"/>
        <v>123.88</v>
      </c>
      <c r="G37" s="334">
        <f t="shared" si="1"/>
        <v>99.6</v>
      </c>
    </row>
    <row r="38" spans="1:7" s="332" customFormat="1" ht="19.5" customHeight="1">
      <c r="A38" s="337" t="s">
        <v>113</v>
      </c>
      <c r="B38" s="197">
        <v>800</v>
      </c>
      <c r="C38" s="196">
        <v>995</v>
      </c>
      <c r="D38" s="336">
        <v>991</v>
      </c>
      <c r="E38" s="194">
        <v>991</v>
      </c>
      <c r="F38" s="334">
        <f t="shared" si="0"/>
        <v>123.88</v>
      </c>
      <c r="G38" s="334">
        <f t="shared" si="1"/>
        <v>99.6</v>
      </c>
    </row>
    <row r="39" spans="1:7" s="332" customFormat="1" ht="19.5" customHeight="1">
      <c r="A39" s="337" t="s">
        <v>114</v>
      </c>
      <c r="B39" s="194">
        <v>0</v>
      </c>
      <c r="C39" s="194">
        <v>0</v>
      </c>
      <c r="D39" s="338">
        <v>0</v>
      </c>
      <c r="E39" s="194">
        <v>0</v>
      </c>
      <c r="F39" s="334">
        <f t="shared" si="0"/>
        <v>0</v>
      </c>
      <c r="G39" s="334">
        <f t="shared" si="1"/>
        <v>0</v>
      </c>
    </row>
    <row r="40" spans="1:7" s="332" customFormat="1" ht="19.5" customHeight="1">
      <c r="A40" s="337" t="s">
        <v>115</v>
      </c>
      <c r="B40" s="194">
        <f>B41+B42</f>
        <v>334</v>
      </c>
      <c r="C40" s="194">
        <f>C41+C42</f>
        <v>426</v>
      </c>
      <c r="D40" s="336">
        <v>426</v>
      </c>
      <c r="E40" s="194">
        <f>E41+E42</f>
        <v>426</v>
      </c>
      <c r="F40" s="334">
        <f t="shared" si="0"/>
        <v>127.54</v>
      </c>
      <c r="G40" s="334">
        <f t="shared" si="1"/>
        <v>100</v>
      </c>
    </row>
    <row r="41" spans="1:7" s="332" customFormat="1" ht="19.5" customHeight="1">
      <c r="A41" s="337" t="s">
        <v>116</v>
      </c>
      <c r="B41" s="197">
        <v>330</v>
      </c>
      <c r="C41" s="196">
        <v>422</v>
      </c>
      <c r="D41" s="336">
        <v>422</v>
      </c>
      <c r="E41" s="194">
        <v>422</v>
      </c>
      <c r="F41" s="334">
        <f t="shared" si="0"/>
        <v>127.88</v>
      </c>
      <c r="G41" s="334">
        <f t="shared" si="1"/>
        <v>100</v>
      </c>
    </row>
    <row r="42" spans="1:7" s="332" customFormat="1" ht="19.5" customHeight="1">
      <c r="A42" s="337" t="s">
        <v>117</v>
      </c>
      <c r="B42" s="197">
        <v>4</v>
      </c>
      <c r="C42" s="196">
        <v>4</v>
      </c>
      <c r="D42" s="336">
        <v>4</v>
      </c>
      <c r="E42" s="194">
        <v>3.66</v>
      </c>
      <c r="F42" s="334">
        <f t="shared" si="0"/>
        <v>91.5</v>
      </c>
      <c r="G42" s="334">
        <f t="shared" si="1"/>
        <v>91.5</v>
      </c>
    </row>
    <row r="43" spans="1:7" s="332" customFormat="1" ht="19.5" customHeight="1">
      <c r="A43" s="337" t="s">
        <v>118</v>
      </c>
      <c r="B43" s="194">
        <f>B44</f>
        <v>132</v>
      </c>
      <c r="C43" s="194">
        <f>C44</f>
        <v>189</v>
      </c>
      <c r="D43" s="336">
        <v>190</v>
      </c>
      <c r="E43" s="194">
        <f>E44</f>
        <v>190</v>
      </c>
      <c r="F43" s="334">
        <f t="shared" si="0"/>
        <v>143.94</v>
      </c>
      <c r="G43" s="334">
        <f t="shared" si="1"/>
        <v>100.53</v>
      </c>
    </row>
    <row r="44" spans="1:7" s="332" customFormat="1" ht="19.5" customHeight="1">
      <c r="A44" s="337" t="s">
        <v>119</v>
      </c>
      <c r="B44" s="197">
        <v>132</v>
      </c>
      <c r="C44" s="196">
        <v>189</v>
      </c>
      <c r="D44" s="336">
        <v>190</v>
      </c>
      <c r="E44" s="194">
        <v>190</v>
      </c>
      <c r="F44" s="334">
        <f t="shared" si="0"/>
        <v>143.94</v>
      </c>
      <c r="G44" s="334">
        <f t="shared" si="1"/>
        <v>100.53</v>
      </c>
    </row>
    <row r="45" spans="1:7" s="332" customFormat="1" ht="19.5" customHeight="1">
      <c r="A45" s="337" t="s">
        <v>120</v>
      </c>
      <c r="B45" s="194">
        <f>B46+B47</f>
        <v>772</v>
      </c>
      <c r="C45" s="194">
        <f>C46+C47</f>
        <v>979</v>
      </c>
      <c r="D45" s="336">
        <v>980</v>
      </c>
      <c r="E45" s="194">
        <f>E46+E47</f>
        <v>979</v>
      </c>
      <c r="F45" s="334">
        <f t="shared" si="0"/>
        <v>126.81</v>
      </c>
      <c r="G45" s="334">
        <f t="shared" si="1"/>
        <v>100</v>
      </c>
    </row>
    <row r="46" spans="1:7" s="332" customFormat="1" ht="19.5" customHeight="1">
      <c r="A46" s="337" t="s">
        <v>121</v>
      </c>
      <c r="B46" s="197">
        <v>559</v>
      </c>
      <c r="C46" s="196">
        <v>727</v>
      </c>
      <c r="D46" s="336">
        <v>727</v>
      </c>
      <c r="E46" s="194">
        <v>727</v>
      </c>
      <c r="F46" s="334">
        <f t="shared" si="0"/>
        <v>130.05</v>
      </c>
      <c r="G46" s="334">
        <f t="shared" si="1"/>
        <v>100</v>
      </c>
    </row>
    <row r="47" spans="1:7" s="332" customFormat="1" ht="19.5" customHeight="1">
      <c r="A47" s="337" t="s">
        <v>122</v>
      </c>
      <c r="B47" s="197">
        <v>213</v>
      </c>
      <c r="C47" s="196">
        <v>252</v>
      </c>
      <c r="D47" s="336">
        <v>252</v>
      </c>
      <c r="E47" s="194">
        <v>252</v>
      </c>
      <c r="F47" s="334">
        <f t="shared" si="0"/>
        <v>118.31</v>
      </c>
      <c r="G47" s="334">
        <f t="shared" si="1"/>
        <v>100</v>
      </c>
    </row>
    <row r="48" spans="1:7" s="332" customFormat="1" ht="19.5" customHeight="1">
      <c r="A48" s="337" t="s">
        <v>123</v>
      </c>
      <c r="B48" s="194">
        <f>B49+B50</f>
        <v>3285</v>
      </c>
      <c r="C48" s="194">
        <f>C49+C50</f>
        <v>4384</v>
      </c>
      <c r="D48" s="336">
        <v>4377</v>
      </c>
      <c r="E48" s="194">
        <f>E49+E50</f>
        <v>4377</v>
      </c>
      <c r="F48" s="334">
        <f t="shared" si="0"/>
        <v>133.24</v>
      </c>
      <c r="G48" s="334">
        <f t="shared" si="1"/>
        <v>99.84</v>
      </c>
    </row>
    <row r="49" spans="1:7" s="332" customFormat="1" ht="19.5" customHeight="1">
      <c r="A49" s="337" t="s">
        <v>124</v>
      </c>
      <c r="B49" s="197">
        <v>3181</v>
      </c>
      <c r="C49" s="196">
        <v>4226</v>
      </c>
      <c r="D49" s="336">
        <v>4219</v>
      </c>
      <c r="E49" s="194">
        <v>4219</v>
      </c>
      <c r="F49" s="334">
        <f t="shared" si="0"/>
        <v>132.63</v>
      </c>
      <c r="G49" s="334">
        <f t="shared" si="1"/>
        <v>99.83</v>
      </c>
    </row>
    <row r="50" spans="1:7" s="332" customFormat="1" ht="19.5" customHeight="1">
      <c r="A50" s="337" t="s">
        <v>125</v>
      </c>
      <c r="B50" s="197">
        <v>104</v>
      </c>
      <c r="C50" s="196">
        <v>158</v>
      </c>
      <c r="D50" s="339">
        <v>158</v>
      </c>
      <c r="E50" s="194">
        <v>158</v>
      </c>
      <c r="F50" s="334">
        <f t="shared" si="0"/>
        <v>151.92</v>
      </c>
      <c r="G50" s="334">
        <f t="shared" si="1"/>
        <v>100</v>
      </c>
    </row>
    <row r="51" spans="1:7" s="332" customFormat="1" ht="19.5" customHeight="1">
      <c r="A51" s="337" t="s">
        <v>126</v>
      </c>
      <c r="B51" s="194">
        <f>B52</f>
        <v>0</v>
      </c>
      <c r="C51" s="194">
        <f>C52</f>
        <v>0</v>
      </c>
      <c r="D51" s="340">
        <v>0</v>
      </c>
      <c r="E51" s="194">
        <f>E52</f>
        <v>0</v>
      </c>
      <c r="F51" s="334">
        <f t="shared" si="0"/>
        <v>0</v>
      </c>
      <c r="G51" s="334">
        <f t="shared" si="1"/>
        <v>0</v>
      </c>
    </row>
    <row r="52" spans="1:7" s="332" customFormat="1" ht="19.5" customHeight="1">
      <c r="A52" s="337" t="s">
        <v>127</v>
      </c>
      <c r="B52" s="194">
        <v>0</v>
      </c>
      <c r="C52" s="194">
        <v>0</v>
      </c>
      <c r="D52" s="340">
        <v>0</v>
      </c>
      <c r="E52" s="194">
        <v>0</v>
      </c>
      <c r="F52" s="334">
        <f t="shared" si="0"/>
        <v>0</v>
      </c>
      <c r="G52" s="334">
        <f t="shared" si="1"/>
        <v>0</v>
      </c>
    </row>
    <row r="53" spans="1:7" s="332" customFormat="1" ht="19.5" customHeight="1">
      <c r="A53" s="337" t="s">
        <v>128</v>
      </c>
      <c r="B53" s="194">
        <f>B54</f>
        <v>0</v>
      </c>
      <c r="C53" s="194">
        <f>C54</f>
        <v>0</v>
      </c>
      <c r="D53" s="340">
        <v>0</v>
      </c>
      <c r="E53" s="194">
        <f>E54</f>
        <v>0</v>
      </c>
      <c r="F53" s="334">
        <f t="shared" si="0"/>
        <v>0</v>
      </c>
      <c r="G53" s="334">
        <f t="shared" si="1"/>
        <v>0</v>
      </c>
    </row>
    <row r="54" spans="1:7" s="332" customFormat="1" ht="19.5" customHeight="1">
      <c r="A54" s="337" t="s">
        <v>129</v>
      </c>
      <c r="B54" s="194">
        <v>0</v>
      </c>
      <c r="C54" s="194">
        <v>0</v>
      </c>
      <c r="D54" s="340">
        <v>0</v>
      </c>
      <c r="E54" s="194">
        <v>0</v>
      </c>
      <c r="F54" s="334">
        <f t="shared" si="0"/>
        <v>0</v>
      </c>
      <c r="G54" s="334">
        <f t="shared" si="1"/>
        <v>0</v>
      </c>
    </row>
    <row r="55" spans="1:7" s="332" customFormat="1" ht="19.5" customHeight="1">
      <c r="A55" s="337" t="s">
        <v>130</v>
      </c>
      <c r="B55" s="194">
        <f>B56</f>
        <v>0</v>
      </c>
      <c r="C55" s="194">
        <f>C56</f>
        <v>0</v>
      </c>
      <c r="D55" s="340">
        <v>0</v>
      </c>
      <c r="E55" s="194">
        <f>E56</f>
        <v>0</v>
      </c>
      <c r="F55" s="334">
        <f t="shared" si="0"/>
        <v>0</v>
      </c>
      <c r="G55" s="334">
        <f t="shared" si="1"/>
        <v>0</v>
      </c>
    </row>
    <row r="56" spans="1:7" s="332" customFormat="1" ht="19.5" customHeight="1">
      <c r="A56" s="337" t="s">
        <v>131</v>
      </c>
      <c r="B56" s="194">
        <v>0</v>
      </c>
      <c r="C56" s="194">
        <v>0</v>
      </c>
      <c r="D56" s="340">
        <v>0</v>
      </c>
      <c r="E56" s="194">
        <v>0</v>
      </c>
      <c r="F56" s="334">
        <f t="shared" si="0"/>
        <v>0</v>
      </c>
      <c r="G56" s="334">
        <f t="shared" si="1"/>
        <v>0</v>
      </c>
    </row>
    <row r="57" spans="1:7" s="332" customFormat="1" ht="19.5" customHeight="1">
      <c r="A57" s="337" t="s">
        <v>579</v>
      </c>
      <c r="B57" s="194">
        <f>B58+B60+B64+B66+B69+B71</f>
        <v>33402</v>
      </c>
      <c r="C57" s="194">
        <f>C58+C60+C64+C66+C69+C71-1</f>
        <v>37112</v>
      </c>
      <c r="D57" s="341">
        <v>37063</v>
      </c>
      <c r="E57" s="194">
        <f>E58+E60+E64+E66+E69+E71-1</f>
        <v>37062</v>
      </c>
      <c r="F57" s="334">
        <f t="shared" si="0"/>
        <v>110.96</v>
      </c>
      <c r="G57" s="334">
        <f t="shared" si="1"/>
        <v>99.87</v>
      </c>
    </row>
    <row r="58" spans="1:7" s="332" customFormat="1" ht="19.5" customHeight="1">
      <c r="A58" s="337" t="s">
        <v>132</v>
      </c>
      <c r="B58" s="194">
        <f>B59</f>
        <v>0</v>
      </c>
      <c r="C58" s="194">
        <f>C59</f>
        <v>0</v>
      </c>
      <c r="D58" s="338">
        <v>0</v>
      </c>
      <c r="E58" s="194">
        <f>E59</f>
        <v>0</v>
      </c>
      <c r="F58" s="334">
        <f t="shared" si="0"/>
        <v>0</v>
      </c>
      <c r="G58" s="334">
        <f t="shared" si="1"/>
        <v>0</v>
      </c>
    </row>
    <row r="59" spans="1:7" s="332" customFormat="1" ht="19.5" customHeight="1">
      <c r="A59" s="337" t="s">
        <v>133</v>
      </c>
      <c r="B59" s="194">
        <v>0</v>
      </c>
      <c r="C59" s="194">
        <v>0</v>
      </c>
      <c r="D59" s="338">
        <v>0</v>
      </c>
      <c r="E59" s="194">
        <v>0</v>
      </c>
      <c r="F59" s="334">
        <f t="shared" si="0"/>
        <v>0</v>
      </c>
      <c r="G59" s="334">
        <f t="shared" si="1"/>
        <v>0</v>
      </c>
    </row>
    <row r="60" spans="1:7" s="332" customFormat="1" ht="19.5" customHeight="1">
      <c r="A60" s="337" t="s">
        <v>134</v>
      </c>
      <c r="B60" s="194">
        <f>B61+B62+B63</f>
        <v>25571</v>
      </c>
      <c r="C60" s="194">
        <f>C61+C62+C63</f>
        <v>32875</v>
      </c>
      <c r="D60" s="336">
        <v>32827</v>
      </c>
      <c r="E60" s="194">
        <f>E61+E62+E63</f>
        <v>32827</v>
      </c>
      <c r="F60" s="334">
        <f t="shared" si="0"/>
        <v>128.38</v>
      </c>
      <c r="G60" s="334">
        <f t="shared" si="1"/>
        <v>99.85</v>
      </c>
    </row>
    <row r="61" spans="1:7" s="332" customFormat="1" ht="19.5" customHeight="1">
      <c r="A61" s="337" t="s">
        <v>135</v>
      </c>
      <c r="B61" s="197">
        <v>24278</v>
      </c>
      <c r="C61" s="196">
        <v>30691</v>
      </c>
      <c r="D61" s="336">
        <v>30643</v>
      </c>
      <c r="E61" s="194">
        <v>30642.5</v>
      </c>
      <c r="F61" s="334">
        <f t="shared" si="0"/>
        <v>126.22</v>
      </c>
      <c r="G61" s="334">
        <f t="shared" si="1"/>
        <v>99.84</v>
      </c>
    </row>
    <row r="62" spans="1:7" s="332" customFormat="1" ht="19.5" customHeight="1">
      <c r="A62" s="337" t="s">
        <v>136</v>
      </c>
      <c r="B62" s="194">
        <v>0</v>
      </c>
      <c r="C62" s="194">
        <v>0</v>
      </c>
      <c r="D62" s="336">
        <v>0</v>
      </c>
      <c r="E62" s="194">
        <v>0</v>
      </c>
      <c r="F62" s="334">
        <f t="shared" si="0"/>
        <v>0</v>
      </c>
      <c r="G62" s="334">
        <f t="shared" si="1"/>
        <v>0</v>
      </c>
    </row>
    <row r="63" spans="1:7" s="332" customFormat="1" ht="19.5" customHeight="1">
      <c r="A63" s="337" t="s">
        <v>137</v>
      </c>
      <c r="B63" s="197">
        <v>1293</v>
      </c>
      <c r="C63" s="196">
        <v>2184</v>
      </c>
      <c r="D63" s="336">
        <v>2184</v>
      </c>
      <c r="E63" s="194">
        <v>2184</v>
      </c>
      <c r="F63" s="334">
        <f t="shared" si="0"/>
        <v>168.91</v>
      </c>
      <c r="G63" s="334">
        <f t="shared" si="1"/>
        <v>100</v>
      </c>
    </row>
    <row r="64" spans="1:7" s="332" customFormat="1" ht="19.5" customHeight="1">
      <c r="A64" s="337" t="s">
        <v>138</v>
      </c>
      <c r="B64" s="194">
        <f>B65</f>
        <v>0</v>
      </c>
      <c r="C64" s="194">
        <f>C65</f>
        <v>0</v>
      </c>
      <c r="D64" s="338">
        <v>0</v>
      </c>
      <c r="E64" s="194">
        <f>E65</f>
        <v>0</v>
      </c>
      <c r="F64" s="334">
        <f t="shared" si="0"/>
        <v>0</v>
      </c>
      <c r="G64" s="334">
        <f t="shared" si="1"/>
        <v>0</v>
      </c>
    </row>
    <row r="65" spans="1:7" s="332" customFormat="1" ht="19.5" customHeight="1">
      <c r="A65" s="337" t="s">
        <v>139</v>
      </c>
      <c r="B65" s="194">
        <v>0</v>
      </c>
      <c r="C65" s="194">
        <v>0</v>
      </c>
      <c r="D65" s="338">
        <v>0</v>
      </c>
      <c r="E65" s="194">
        <v>0</v>
      </c>
      <c r="F65" s="334">
        <f t="shared" si="0"/>
        <v>0</v>
      </c>
      <c r="G65" s="334">
        <f t="shared" si="1"/>
        <v>0</v>
      </c>
    </row>
    <row r="66" spans="1:7" s="332" customFormat="1" ht="19.5" customHeight="1">
      <c r="A66" s="337" t="s">
        <v>140</v>
      </c>
      <c r="B66" s="194">
        <f>B67</f>
        <v>2358</v>
      </c>
      <c r="C66" s="194">
        <f>C67</f>
        <v>704</v>
      </c>
      <c r="D66" s="336">
        <v>704</v>
      </c>
      <c r="E66" s="194">
        <f>E67</f>
        <v>704</v>
      </c>
      <c r="F66" s="334">
        <f t="shared" si="0"/>
        <v>29.86</v>
      </c>
      <c r="G66" s="334">
        <f t="shared" si="1"/>
        <v>100</v>
      </c>
    </row>
    <row r="67" spans="1:7" s="332" customFormat="1" ht="19.5" customHeight="1">
      <c r="A67" s="337" t="s">
        <v>141</v>
      </c>
      <c r="B67" s="195">
        <v>2358</v>
      </c>
      <c r="C67" s="196">
        <v>704</v>
      </c>
      <c r="D67" s="336">
        <v>704</v>
      </c>
      <c r="E67" s="194">
        <v>704</v>
      </c>
      <c r="F67" s="334">
        <f t="shared" si="0"/>
        <v>29.86</v>
      </c>
      <c r="G67" s="334">
        <f t="shared" si="1"/>
        <v>100</v>
      </c>
    </row>
    <row r="68" spans="1:7" s="332" customFormat="1" ht="19.5" customHeight="1">
      <c r="A68" s="337" t="s">
        <v>142</v>
      </c>
      <c r="B68" s="194">
        <v>0</v>
      </c>
      <c r="C68" s="194">
        <v>0</v>
      </c>
      <c r="D68" s="338">
        <v>0</v>
      </c>
      <c r="E68" s="194">
        <v>0</v>
      </c>
      <c r="F68" s="334">
        <f t="shared" si="0"/>
        <v>0</v>
      </c>
      <c r="G68" s="334">
        <f t="shared" si="1"/>
        <v>0</v>
      </c>
    </row>
    <row r="69" spans="1:7" s="332" customFormat="1" ht="19.5" customHeight="1">
      <c r="A69" s="337" t="s">
        <v>143</v>
      </c>
      <c r="B69" s="194">
        <f>B70</f>
        <v>3404</v>
      </c>
      <c r="C69" s="194">
        <f>C70</f>
        <v>956</v>
      </c>
      <c r="D69" s="336">
        <v>956</v>
      </c>
      <c r="E69" s="194">
        <f>E70</f>
        <v>956</v>
      </c>
      <c r="F69" s="334">
        <f aca="true" t="shared" si="2" ref="F69:F132">IF(B69=0,0,E69/B69*100)</f>
        <v>28.08</v>
      </c>
      <c r="G69" s="334">
        <f aca="true" t="shared" si="3" ref="G69:G132">IF(E69=0,0,E69/C69*100)</f>
        <v>100</v>
      </c>
    </row>
    <row r="70" spans="1:7" s="332" customFormat="1" ht="19.5" customHeight="1">
      <c r="A70" s="337" t="s">
        <v>144</v>
      </c>
      <c r="B70" s="195">
        <v>3404</v>
      </c>
      <c r="C70" s="196">
        <v>956</v>
      </c>
      <c r="D70" s="336">
        <v>956</v>
      </c>
      <c r="E70" s="194">
        <v>956</v>
      </c>
      <c r="F70" s="334">
        <f t="shared" si="2"/>
        <v>28.08</v>
      </c>
      <c r="G70" s="334">
        <f t="shared" si="3"/>
        <v>100</v>
      </c>
    </row>
    <row r="71" spans="1:7" s="332" customFormat="1" ht="19.5" customHeight="1">
      <c r="A71" s="337" t="s">
        <v>145</v>
      </c>
      <c r="B71" s="194">
        <f>B72+B73</f>
        <v>2069</v>
      </c>
      <c r="C71" s="194">
        <f>C72+C73</f>
        <v>2578</v>
      </c>
      <c r="D71" s="336">
        <v>2576</v>
      </c>
      <c r="E71" s="194">
        <f>E72+E73</f>
        <v>2576</v>
      </c>
      <c r="F71" s="334">
        <f t="shared" si="2"/>
        <v>124.5</v>
      </c>
      <c r="G71" s="334">
        <f t="shared" si="3"/>
        <v>99.92</v>
      </c>
    </row>
    <row r="72" spans="1:7" s="332" customFormat="1" ht="19.5" customHeight="1">
      <c r="A72" s="337" t="s">
        <v>146</v>
      </c>
      <c r="B72" s="195">
        <v>1908</v>
      </c>
      <c r="C72" s="196">
        <v>2381</v>
      </c>
      <c r="D72" s="336">
        <v>2376</v>
      </c>
      <c r="E72" s="194">
        <v>2376</v>
      </c>
      <c r="F72" s="334">
        <f t="shared" si="2"/>
        <v>124.53</v>
      </c>
      <c r="G72" s="334">
        <f t="shared" si="3"/>
        <v>99.79</v>
      </c>
    </row>
    <row r="73" spans="1:7" s="332" customFormat="1" ht="19.5" customHeight="1">
      <c r="A73" s="337" t="s">
        <v>147</v>
      </c>
      <c r="B73" s="195">
        <v>161</v>
      </c>
      <c r="C73" s="196">
        <v>197</v>
      </c>
      <c r="D73" s="336">
        <v>200</v>
      </c>
      <c r="E73" s="194">
        <v>200</v>
      </c>
      <c r="F73" s="334">
        <f t="shared" si="2"/>
        <v>124.22</v>
      </c>
      <c r="G73" s="334">
        <f t="shared" si="3"/>
        <v>101.52</v>
      </c>
    </row>
    <row r="74" spans="1:7" s="332" customFormat="1" ht="19.5" customHeight="1">
      <c r="A74" s="337" t="s">
        <v>580</v>
      </c>
      <c r="B74" s="194">
        <f>B75+B77+B83+B85+B88+B90-2</f>
        <v>93941</v>
      </c>
      <c r="C74" s="194">
        <f>C75+C77+C83+C85+C88+C90</f>
        <v>110395</v>
      </c>
      <c r="D74" s="336">
        <v>111943</v>
      </c>
      <c r="E74" s="194">
        <f>E75+E77+E83+E85+E88+E90</f>
        <v>111876</v>
      </c>
      <c r="F74" s="334">
        <f t="shared" si="2"/>
        <v>119.09</v>
      </c>
      <c r="G74" s="334">
        <f t="shared" si="3"/>
        <v>101.34</v>
      </c>
    </row>
    <row r="75" spans="1:7" s="332" customFormat="1" ht="19.5" customHeight="1">
      <c r="A75" s="337" t="s">
        <v>148</v>
      </c>
      <c r="B75" s="194">
        <f>B76</f>
        <v>782</v>
      </c>
      <c r="C75" s="194">
        <f>C76</f>
        <v>965</v>
      </c>
      <c r="D75" s="336">
        <v>968</v>
      </c>
      <c r="E75" s="194">
        <f>E76</f>
        <v>968</v>
      </c>
      <c r="F75" s="334">
        <f t="shared" si="2"/>
        <v>123.79</v>
      </c>
      <c r="G75" s="334">
        <f t="shared" si="3"/>
        <v>100.31</v>
      </c>
    </row>
    <row r="76" spans="1:7" s="332" customFormat="1" ht="19.5" customHeight="1">
      <c r="A76" s="337" t="s">
        <v>149</v>
      </c>
      <c r="B76" s="197">
        <v>782</v>
      </c>
      <c r="C76" s="196">
        <v>965</v>
      </c>
      <c r="D76" s="336">
        <v>968</v>
      </c>
      <c r="E76" s="194">
        <v>968</v>
      </c>
      <c r="F76" s="334">
        <f t="shared" si="2"/>
        <v>123.79</v>
      </c>
      <c r="G76" s="334">
        <f t="shared" si="3"/>
        <v>100.31</v>
      </c>
    </row>
    <row r="77" spans="1:7" s="332" customFormat="1" ht="19.5" customHeight="1">
      <c r="A77" s="337" t="s">
        <v>150</v>
      </c>
      <c r="B77" s="194">
        <f>B78+B79+B80+B81+B82</f>
        <v>83725</v>
      </c>
      <c r="C77" s="194">
        <f>C78+C79+C80+C81+C82</f>
        <v>98632</v>
      </c>
      <c r="D77" s="336">
        <v>100187</v>
      </c>
      <c r="E77" s="194">
        <f>E78+E79+E80+E81+E82</f>
        <v>100120</v>
      </c>
      <c r="F77" s="334">
        <f t="shared" si="2"/>
        <v>119.58</v>
      </c>
      <c r="G77" s="334">
        <f t="shared" si="3"/>
        <v>101.51</v>
      </c>
    </row>
    <row r="78" spans="1:7" s="332" customFormat="1" ht="19.5" customHeight="1">
      <c r="A78" s="337" t="s">
        <v>151</v>
      </c>
      <c r="B78" s="197">
        <v>4210</v>
      </c>
      <c r="C78" s="196">
        <v>5169</v>
      </c>
      <c r="D78" s="336">
        <v>5182</v>
      </c>
      <c r="E78" s="194">
        <v>5182</v>
      </c>
      <c r="F78" s="334">
        <f t="shared" si="2"/>
        <v>123.09</v>
      </c>
      <c r="G78" s="334">
        <f t="shared" si="3"/>
        <v>100.25</v>
      </c>
    </row>
    <row r="79" spans="1:7" s="332" customFormat="1" ht="19.5" customHeight="1">
      <c r="A79" s="337" t="s">
        <v>152</v>
      </c>
      <c r="B79" s="197">
        <v>40244</v>
      </c>
      <c r="C79" s="196">
        <v>47484</v>
      </c>
      <c r="D79" s="336">
        <v>48647</v>
      </c>
      <c r="E79" s="194">
        <v>48600</v>
      </c>
      <c r="F79" s="334">
        <f t="shared" si="2"/>
        <v>120.76</v>
      </c>
      <c r="G79" s="334">
        <f t="shared" si="3"/>
        <v>102.35</v>
      </c>
    </row>
    <row r="80" spans="1:7" s="332" customFormat="1" ht="19.5" customHeight="1">
      <c r="A80" s="337" t="s">
        <v>153</v>
      </c>
      <c r="B80" s="197">
        <v>24045</v>
      </c>
      <c r="C80" s="196">
        <v>28492</v>
      </c>
      <c r="D80" s="336">
        <v>28745</v>
      </c>
      <c r="E80" s="194">
        <v>28725</v>
      </c>
      <c r="F80" s="334">
        <f t="shared" si="2"/>
        <v>119.46</v>
      </c>
      <c r="G80" s="334">
        <f t="shared" si="3"/>
        <v>100.82</v>
      </c>
    </row>
    <row r="81" spans="1:7" s="332" customFormat="1" ht="19.5" customHeight="1">
      <c r="A81" s="337" t="s">
        <v>154</v>
      </c>
      <c r="B81" s="197">
        <v>11357</v>
      </c>
      <c r="C81" s="196">
        <v>13161</v>
      </c>
      <c r="D81" s="336">
        <v>13260</v>
      </c>
      <c r="E81" s="194">
        <v>13260</v>
      </c>
      <c r="F81" s="334">
        <f t="shared" si="2"/>
        <v>116.76</v>
      </c>
      <c r="G81" s="334">
        <f t="shared" si="3"/>
        <v>100.75</v>
      </c>
    </row>
    <row r="82" spans="1:7" s="332" customFormat="1" ht="19.5" customHeight="1">
      <c r="A82" s="337" t="s">
        <v>155</v>
      </c>
      <c r="B82" s="197">
        <v>3869</v>
      </c>
      <c r="C82" s="196">
        <v>4326</v>
      </c>
      <c r="D82" s="336">
        <v>4353</v>
      </c>
      <c r="E82" s="194">
        <v>4353</v>
      </c>
      <c r="F82" s="334">
        <f t="shared" si="2"/>
        <v>112.51</v>
      </c>
      <c r="G82" s="334">
        <f t="shared" si="3"/>
        <v>100.62</v>
      </c>
    </row>
    <row r="83" spans="1:7" s="332" customFormat="1" ht="19.5" customHeight="1">
      <c r="A83" s="337" t="s">
        <v>156</v>
      </c>
      <c r="B83" s="194">
        <f>B84</f>
        <v>5155</v>
      </c>
      <c r="C83" s="194">
        <f>C84</f>
        <v>5858</v>
      </c>
      <c r="D83" s="336">
        <v>5835</v>
      </c>
      <c r="E83" s="194">
        <f>E84</f>
        <v>5835</v>
      </c>
      <c r="F83" s="334">
        <f t="shared" si="2"/>
        <v>113.19</v>
      </c>
      <c r="G83" s="334">
        <f t="shared" si="3"/>
        <v>99.61</v>
      </c>
    </row>
    <row r="84" spans="1:7" s="332" customFormat="1" ht="19.5" customHeight="1">
      <c r="A84" s="337" t="s">
        <v>157</v>
      </c>
      <c r="B84" s="197">
        <v>5155</v>
      </c>
      <c r="C84" s="196">
        <v>5858</v>
      </c>
      <c r="D84" s="336">
        <v>5835</v>
      </c>
      <c r="E84" s="194">
        <v>5835</v>
      </c>
      <c r="F84" s="334">
        <f t="shared" si="2"/>
        <v>113.19</v>
      </c>
      <c r="G84" s="334">
        <f t="shared" si="3"/>
        <v>99.61</v>
      </c>
    </row>
    <row r="85" spans="1:7" s="332" customFormat="1" ht="19.5" customHeight="1">
      <c r="A85" s="337" t="s">
        <v>158</v>
      </c>
      <c r="B85" s="194">
        <f>B86+B87</f>
        <v>2146</v>
      </c>
      <c r="C85" s="194">
        <f>C86+C87</f>
        <v>2438</v>
      </c>
      <c r="D85" s="336">
        <v>2437</v>
      </c>
      <c r="E85" s="194">
        <f>E86+E87</f>
        <v>2437</v>
      </c>
      <c r="F85" s="334">
        <f t="shared" si="2"/>
        <v>113.56</v>
      </c>
      <c r="G85" s="334">
        <f t="shared" si="3"/>
        <v>99.96</v>
      </c>
    </row>
    <row r="86" spans="1:7" s="332" customFormat="1" ht="19.5" customHeight="1">
      <c r="A86" s="337" t="s">
        <v>159</v>
      </c>
      <c r="B86" s="197">
        <v>539</v>
      </c>
      <c r="C86" s="196">
        <v>604</v>
      </c>
      <c r="D86" s="336">
        <v>604</v>
      </c>
      <c r="E86" s="194">
        <v>604</v>
      </c>
      <c r="F86" s="334">
        <f t="shared" si="2"/>
        <v>112.06</v>
      </c>
      <c r="G86" s="334">
        <f t="shared" si="3"/>
        <v>100</v>
      </c>
    </row>
    <row r="87" spans="1:7" s="332" customFormat="1" ht="19.5" customHeight="1">
      <c r="A87" s="337" t="s">
        <v>160</v>
      </c>
      <c r="B87" s="197">
        <v>1607</v>
      </c>
      <c r="C87" s="196">
        <v>1834</v>
      </c>
      <c r="D87" s="336">
        <v>1833</v>
      </c>
      <c r="E87" s="194">
        <v>1833</v>
      </c>
      <c r="F87" s="334">
        <f t="shared" si="2"/>
        <v>114.06</v>
      </c>
      <c r="G87" s="334">
        <f t="shared" si="3"/>
        <v>99.95</v>
      </c>
    </row>
    <row r="88" spans="1:7" s="332" customFormat="1" ht="19.5" customHeight="1">
      <c r="A88" s="337" t="s">
        <v>161</v>
      </c>
      <c r="B88" s="194">
        <f>B89</f>
        <v>669</v>
      </c>
      <c r="C88" s="194">
        <f>C89</f>
        <v>820</v>
      </c>
      <c r="D88" s="336">
        <v>825</v>
      </c>
      <c r="E88" s="194">
        <f>E89</f>
        <v>825</v>
      </c>
      <c r="F88" s="334">
        <f t="shared" si="2"/>
        <v>123.32</v>
      </c>
      <c r="G88" s="334">
        <f t="shared" si="3"/>
        <v>100.61</v>
      </c>
    </row>
    <row r="89" spans="1:7" s="332" customFormat="1" ht="19.5" customHeight="1">
      <c r="A89" s="337" t="s">
        <v>162</v>
      </c>
      <c r="B89" s="197">
        <v>669</v>
      </c>
      <c r="C89" s="196">
        <v>820</v>
      </c>
      <c r="D89" s="336">
        <v>825</v>
      </c>
      <c r="E89" s="194">
        <v>825</v>
      </c>
      <c r="F89" s="334">
        <f t="shared" si="2"/>
        <v>123.32</v>
      </c>
      <c r="G89" s="334">
        <f t="shared" si="3"/>
        <v>100.61</v>
      </c>
    </row>
    <row r="90" spans="1:7" s="332" customFormat="1" ht="19.5" customHeight="1">
      <c r="A90" s="337" t="s">
        <v>163</v>
      </c>
      <c r="B90" s="194">
        <f>B91+B92+B93</f>
        <v>1466</v>
      </c>
      <c r="C90" s="194">
        <f>C91+C92+C93</f>
        <v>1682</v>
      </c>
      <c r="D90" s="336">
        <v>1690</v>
      </c>
      <c r="E90" s="194">
        <f>E91+E92+E93</f>
        <v>1691</v>
      </c>
      <c r="F90" s="334">
        <f t="shared" si="2"/>
        <v>115.35</v>
      </c>
      <c r="G90" s="334">
        <f t="shared" si="3"/>
        <v>100.54</v>
      </c>
    </row>
    <row r="91" spans="1:7" s="332" customFormat="1" ht="19.5" customHeight="1">
      <c r="A91" s="337" t="s">
        <v>164</v>
      </c>
      <c r="B91" s="197">
        <v>631</v>
      </c>
      <c r="C91" s="196">
        <v>694</v>
      </c>
      <c r="D91" s="336">
        <v>719</v>
      </c>
      <c r="E91" s="194">
        <v>719</v>
      </c>
      <c r="F91" s="334">
        <f t="shared" si="2"/>
        <v>113.95</v>
      </c>
      <c r="G91" s="334">
        <f t="shared" si="3"/>
        <v>103.6</v>
      </c>
    </row>
    <row r="92" spans="1:7" s="332" customFormat="1" ht="19.5" customHeight="1">
      <c r="A92" s="337" t="s">
        <v>165</v>
      </c>
      <c r="B92" s="197">
        <v>622</v>
      </c>
      <c r="C92" s="196">
        <v>749</v>
      </c>
      <c r="D92" s="336">
        <v>742</v>
      </c>
      <c r="E92" s="194">
        <v>742</v>
      </c>
      <c r="F92" s="334">
        <f t="shared" si="2"/>
        <v>119.29</v>
      </c>
      <c r="G92" s="334">
        <f t="shared" si="3"/>
        <v>99.07</v>
      </c>
    </row>
    <row r="93" spans="1:7" s="332" customFormat="1" ht="19.5" customHeight="1">
      <c r="A93" s="337" t="s">
        <v>166</v>
      </c>
      <c r="B93" s="197">
        <v>213</v>
      </c>
      <c r="C93" s="196">
        <v>239</v>
      </c>
      <c r="D93" s="336">
        <v>230</v>
      </c>
      <c r="E93" s="194">
        <v>230</v>
      </c>
      <c r="F93" s="334">
        <f t="shared" si="2"/>
        <v>107.98</v>
      </c>
      <c r="G93" s="334">
        <f t="shared" si="3"/>
        <v>96.23</v>
      </c>
    </row>
    <row r="94" spans="1:7" s="332" customFormat="1" ht="19.5" customHeight="1">
      <c r="A94" s="337" t="s">
        <v>581</v>
      </c>
      <c r="B94" s="194">
        <f>B95+B97</f>
        <v>526</v>
      </c>
      <c r="C94" s="194">
        <f>C95+C97-1</f>
        <v>663</v>
      </c>
      <c r="D94" s="336">
        <v>662</v>
      </c>
      <c r="E94" s="194">
        <f>E95+E97-1</f>
        <v>662</v>
      </c>
      <c r="F94" s="334">
        <f t="shared" si="2"/>
        <v>125.86</v>
      </c>
      <c r="G94" s="334">
        <f t="shared" si="3"/>
        <v>99.85</v>
      </c>
    </row>
    <row r="95" spans="1:7" s="332" customFormat="1" ht="19.5" customHeight="1">
      <c r="A95" s="337" t="s">
        <v>167</v>
      </c>
      <c r="B95" s="194">
        <f>B96</f>
        <v>232</v>
      </c>
      <c r="C95" s="194">
        <f>C96</f>
        <v>290</v>
      </c>
      <c r="D95" s="336">
        <v>289</v>
      </c>
      <c r="E95" s="194">
        <f>E96</f>
        <v>289</v>
      </c>
      <c r="F95" s="334">
        <f t="shared" si="2"/>
        <v>124.57</v>
      </c>
      <c r="G95" s="334">
        <f t="shared" si="3"/>
        <v>99.66</v>
      </c>
    </row>
    <row r="96" spans="1:7" s="332" customFormat="1" ht="19.5" customHeight="1">
      <c r="A96" s="337" t="s">
        <v>168</v>
      </c>
      <c r="B96" s="197">
        <v>232</v>
      </c>
      <c r="C96" s="196">
        <v>290</v>
      </c>
      <c r="D96" s="336">
        <v>289</v>
      </c>
      <c r="E96" s="194">
        <v>289</v>
      </c>
      <c r="F96" s="334">
        <f t="shared" si="2"/>
        <v>124.57</v>
      </c>
      <c r="G96" s="334">
        <f t="shared" si="3"/>
        <v>99.66</v>
      </c>
    </row>
    <row r="97" spans="1:7" s="332" customFormat="1" ht="19.5" customHeight="1">
      <c r="A97" s="337" t="s">
        <v>169</v>
      </c>
      <c r="B97" s="194">
        <f>B98+B99</f>
        <v>294</v>
      </c>
      <c r="C97" s="194">
        <f>C98+C99</f>
        <v>374</v>
      </c>
      <c r="D97" s="336">
        <v>373</v>
      </c>
      <c r="E97" s="194">
        <f>E98+E99</f>
        <v>374</v>
      </c>
      <c r="F97" s="334">
        <f t="shared" si="2"/>
        <v>127.21</v>
      </c>
      <c r="G97" s="334">
        <f t="shared" si="3"/>
        <v>100</v>
      </c>
    </row>
    <row r="98" spans="1:7" s="332" customFormat="1" ht="19.5" customHeight="1">
      <c r="A98" s="337" t="s">
        <v>170</v>
      </c>
      <c r="B98" s="197">
        <v>153</v>
      </c>
      <c r="C98" s="196">
        <v>200</v>
      </c>
      <c r="D98" s="336">
        <v>200</v>
      </c>
      <c r="E98" s="194">
        <v>200</v>
      </c>
      <c r="F98" s="334">
        <f t="shared" si="2"/>
        <v>130.72</v>
      </c>
      <c r="G98" s="334">
        <f t="shared" si="3"/>
        <v>100</v>
      </c>
    </row>
    <row r="99" spans="1:7" s="332" customFormat="1" ht="19.5" customHeight="1">
      <c r="A99" s="337" t="s">
        <v>171</v>
      </c>
      <c r="B99" s="197">
        <v>141</v>
      </c>
      <c r="C99" s="196">
        <v>174</v>
      </c>
      <c r="D99" s="336">
        <v>174</v>
      </c>
      <c r="E99" s="194">
        <v>174</v>
      </c>
      <c r="F99" s="334">
        <f t="shared" si="2"/>
        <v>123.4</v>
      </c>
      <c r="G99" s="334">
        <f t="shared" si="3"/>
        <v>100</v>
      </c>
    </row>
    <row r="100" spans="1:7" s="332" customFormat="1" ht="19.5" customHeight="1">
      <c r="A100" s="337" t="s">
        <v>582</v>
      </c>
      <c r="B100" s="194">
        <f>B101+B106+B110+1</f>
        <v>2921</v>
      </c>
      <c r="C100" s="194">
        <f>C101+C106+C110</f>
        <v>3562</v>
      </c>
      <c r="D100" s="336">
        <v>3566</v>
      </c>
      <c r="E100" s="194">
        <f>E101+E106+E110</f>
        <v>3566</v>
      </c>
      <c r="F100" s="334">
        <f t="shared" si="2"/>
        <v>122.08</v>
      </c>
      <c r="G100" s="334">
        <f t="shared" si="3"/>
        <v>100.11</v>
      </c>
    </row>
    <row r="101" spans="1:7" s="332" customFormat="1" ht="19.5" customHeight="1">
      <c r="A101" s="337" t="s">
        <v>172</v>
      </c>
      <c r="B101" s="194">
        <f>B102+B103+B104+B105</f>
        <v>1623</v>
      </c>
      <c r="C101" s="194">
        <f>C102+C103+C104+C105</f>
        <v>1891</v>
      </c>
      <c r="D101" s="336">
        <v>1901</v>
      </c>
      <c r="E101" s="194">
        <f>E102+E103+E104+E105</f>
        <v>1901</v>
      </c>
      <c r="F101" s="334">
        <f t="shared" si="2"/>
        <v>117.13</v>
      </c>
      <c r="G101" s="334">
        <f t="shared" si="3"/>
        <v>100.53</v>
      </c>
    </row>
    <row r="102" spans="1:7" s="332" customFormat="1" ht="19.5" customHeight="1">
      <c r="A102" s="337" t="s">
        <v>173</v>
      </c>
      <c r="B102" s="197">
        <v>489</v>
      </c>
      <c r="C102" s="196">
        <v>587</v>
      </c>
      <c r="D102" s="336">
        <v>596</v>
      </c>
      <c r="E102" s="194">
        <v>596</v>
      </c>
      <c r="F102" s="334">
        <f t="shared" si="2"/>
        <v>121.88</v>
      </c>
      <c r="G102" s="334">
        <f t="shared" si="3"/>
        <v>101.53</v>
      </c>
    </row>
    <row r="103" spans="1:7" s="332" customFormat="1" ht="19.5" customHeight="1">
      <c r="A103" s="337" t="s">
        <v>174</v>
      </c>
      <c r="B103" s="197">
        <v>562</v>
      </c>
      <c r="C103" s="196">
        <v>647</v>
      </c>
      <c r="D103" s="336">
        <v>651</v>
      </c>
      <c r="E103" s="194">
        <v>651</v>
      </c>
      <c r="F103" s="334">
        <f t="shared" si="2"/>
        <v>115.84</v>
      </c>
      <c r="G103" s="334">
        <f t="shared" si="3"/>
        <v>100.62</v>
      </c>
    </row>
    <row r="104" spans="1:7" s="332" customFormat="1" ht="19.5" customHeight="1">
      <c r="A104" s="337" t="s">
        <v>175</v>
      </c>
      <c r="B104" s="197">
        <v>424</v>
      </c>
      <c r="C104" s="196">
        <v>487</v>
      </c>
      <c r="D104" s="336">
        <v>483</v>
      </c>
      <c r="E104" s="194">
        <v>483</v>
      </c>
      <c r="F104" s="334">
        <f t="shared" si="2"/>
        <v>113.92</v>
      </c>
      <c r="G104" s="334">
        <f t="shared" si="3"/>
        <v>99.18</v>
      </c>
    </row>
    <row r="105" spans="1:7" s="332" customFormat="1" ht="19.5" customHeight="1">
      <c r="A105" s="337" t="s">
        <v>176</v>
      </c>
      <c r="B105" s="197">
        <v>148</v>
      </c>
      <c r="C105" s="196">
        <v>170</v>
      </c>
      <c r="D105" s="336">
        <v>171</v>
      </c>
      <c r="E105" s="194">
        <v>171</v>
      </c>
      <c r="F105" s="334">
        <f t="shared" si="2"/>
        <v>115.54</v>
      </c>
      <c r="G105" s="334">
        <f t="shared" si="3"/>
        <v>100.59</v>
      </c>
    </row>
    <row r="106" spans="1:7" s="332" customFormat="1" ht="19.5" customHeight="1">
      <c r="A106" s="337" t="s">
        <v>177</v>
      </c>
      <c r="B106" s="194">
        <f>B107+B108+B109</f>
        <v>536</v>
      </c>
      <c r="C106" s="194">
        <f>C107+C108+C109</f>
        <v>742</v>
      </c>
      <c r="D106" s="336">
        <v>738</v>
      </c>
      <c r="E106" s="194">
        <f>E107+E108+E109</f>
        <v>738</v>
      </c>
      <c r="F106" s="334">
        <f t="shared" si="2"/>
        <v>137.69</v>
      </c>
      <c r="G106" s="334">
        <f t="shared" si="3"/>
        <v>99.46</v>
      </c>
    </row>
    <row r="107" spans="1:7" s="332" customFormat="1" ht="19.5" customHeight="1">
      <c r="A107" s="337" t="s">
        <v>178</v>
      </c>
      <c r="B107" s="197">
        <v>149</v>
      </c>
      <c r="C107" s="198">
        <v>194</v>
      </c>
      <c r="D107" s="336">
        <v>190</v>
      </c>
      <c r="E107" s="194">
        <v>190</v>
      </c>
      <c r="F107" s="334">
        <f t="shared" si="2"/>
        <v>127.52</v>
      </c>
      <c r="G107" s="334">
        <f t="shared" si="3"/>
        <v>97.94</v>
      </c>
    </row>
    <row r="108" spans="1:7" s="332" customFormat="1" ht="19.5" customHeight="1">
      <c r="A108" s="337" t="s">
        <v>179</v>
      </c>
      <c r="B108" s="197">
        <v>0</v>
      </c>
      <c r="C108" s="198">
        <v>0</v>
      </c>
      <c r="D108" s="336">
        <v>548</v>
      </c>
      <c r="E108" s="194">
        <v>0</v>
      </c>
      <c r="F108" s="334">
        <f t="shared" si="2"/>
        <v>0</v>
      </c>
      <c r="G108" s="334">
        <f t="shared" si="3"/>
        <v>0</v>
      </c>
    </row>
    <row r="109" spans="1:7" s="332" customFormat="1" ht="19.5" customHeight="1">
      <c r="A109" s="337" t="s">
        <v>180</v>
      </c>
      <c r="B109" s="197">
        <v>387</v>
      </c>
      <c r="C109" s="198">
        <v>548</v>
      </c>
      <c r="D109" s="338">
        <v>0</v>
      </c>
      <c r="E109" s="194">
        <v>548</v>
      </c>
      <c r="F109" s="334">
        <f t="shared" si="2"/>
        <v>141.6</v>
      </c>
      <c r="G109" s="334">
        <f t="shared" si="3"/>
        <v>100</v>
      </c>
    </row>
    <row r="110" spans="1:7" s="332" customFormat="1" ht="19.5" customHeight="1">
      <c r="A110" s="337" t="s">
        <v>181</v>
      </c>
      <c r="B110" s="194">
        <f>B111+B112+B113</f>
        <v>761</v>
      </c>
      <c r="C110" s="194">
        <f>C111+C112+C113</f>
        <v>929</v>
      </c>
      <c r="D110" s="336">
        <v>927</v>
      </c>
      <c r="E110" s="194">
        <f>E111+E112+E113</f>
        <v>927</v>
      </c>
      <c r="F110" s="334">
        <f t="shared" si="2"/>
        <v>121.81</v>
      </c>
      <c r="G110" s="334">
        <f t="shared" si="3"/>
        <v>99.78</v>
      </c>
    </row>
    <row r="111" spans="1:7" s="332" customFormat="1" ht="19.5" customHeight="1">
      <c r="A111" s="337" t="s">
        <v>182</v>
      </c>
      <c r="B111" s="194">
        <v>0</v>
      </c>
      <c r="C111" s="194">
        <v>0</v>
      </c>
      <c r="D111" s="338">
        <v>0</v>
      </c>
      <c r="E111" s="194">
        <v>0</v>
      </c>
      <c r="F111" s="334">
        <f t="shared" si="2"/>
        <v>0</v>
      </c>
      <c r="G111" s="334">
        <f t="shared" si="3"/>
        <v>0</v>
      </c>
    </row>
    <row r="112" spans="1:7" s="332" customFormat="1" ht="19.5" customHeight="1">
      <c r="A112" s="337" t="s">
        <v>183</v>
      </c>
      <c r="B112" s="197">
        <v>761</v>
      </c>
      <c r="C112" s="198">
        <v>929</v>
      </c>
      <c r="D112" s="336">
        <v>927</v>
      </c>
      <c r="E112" s="194">
        <v>927</v>
      </c>
      <c r="F112" s="334">
        <f t="shared" si="2"/>
        <v>121.81</v>
      </c>
      <c r="G112" s="334">
        <f t="shared" si="3"/>
        <v>99.78</v>
      </c>
    </row>
    <row r="113" spans="1:7" s="332" customFormat="1" ht="19.5" customHeight="1">
      <c r="A113" s="337" t="s">
        <v>184</v>
      </c>
      <c r="B113" s="194">
        <v>0</v>
      </c>
      <c r="C113" s="194">
        <v>0</v>
      </c>
      <c r="D113" s="338">
        <v>0</v>
      </c>
      <c r="E113" s="194">
        <v>0</v>
      </c>
      <c r="F113" s="334">
        <f t="shared" si="2"/>
        <v>0</v>
      </c>
      <c r="G113" s="334">
        <f t="shared" si="3"/>
        <v>0</v>
      </c>
    </row>
    <row r="114" spans="1:7" s="332" customFormat="1" ht="19.5" customHeight="1">
      <c r="A114" s="337" t="s">
        <v>583</v>
      </c>
      <c r="B114" s="194">
        <f>B115+B120+B124+B126+B128+B130+B133</f>
        <v>2937</v>
      </c>
      <c r="C114" s="194">
        <f>C115+C120+C124+C126+C128+C130+C133+1</f>
        <v>3626</v>
      </c>
      <c r="D114" s="336">
        <v>3650</v>
      </c>
      <c r="E114" s="194">
        <f>E115+E120+E124+E126+E128+E130+E133</f>
        <v>3650</v>
      </c>
      <c r="F114" s="334">
        <f t="shared" si="2"/>
        <v>124.28</v>
      </c>
      <c r="G114" s="334">
        <f t="shared" si="3"/>
        <v>100.66</v>
      </c>
    </row>
    <row r="115" spans="1:7" s="332" customFormat="1" ht="19.5" customHeight="1">
      <c r="A115" s="337" t="s">
        <v>185</v>
      </c>
      <c r="B115" s="194">
        <f>B116+B117+B118+B119</f>
        <v>1696</v>
      </c>
      <c r="C115" s="194">
        <f>C116+C117+C118+C119</f>
        <v>2064</v>
      </c>
      <c r="D115" s="336">
        <v>2082</v>
      </c>
      <c r="E115" s="194">
        <f>E116+E117+E118+E119</f>
        <v>2083</v>
      </c>
      <c r="F115" s="334">
        <f t="shared" si="2"/>
        <v>122.82</v>
      </c>
      <c r="G115" s="334">
        <f t="shared" si="3"/>
        <v>100.92</v>
      </c>
    </row>
    <row r="116" spans="1:7" s="332" customFormat="1" ht="19.5" customHeight="1">
      <c r="A116" s="337" t="s">
        <v>186</v>
      </c>
      <c r="B116" s="197">
        <v>530</v>
      </c>
      <c r="C116" s="198">
        <v>666</v>
      </c>
      <c r="D116" s="336">
        <v>677</v>
      </c>
      <c r="E116" s="194">
        <v>677</v>
      </c>
      <c r="F116" s="334">
        <f t="shared" si="2"/>
        <v>127.74</v>
      </c>
      <c r="G116" s="334">
        <f t="shared" si="3"/>
        <v>101.65</v>
      </c>
    </row>
    <row r="117" spans="1:7" s="332" customFormat="1" ht="19.5" customHeight="1">
      <c r="A117" s="337" t="s">
        <v>187</v>
      </c>
      <c r="B117" s="197">
        <v>68</v>
      </c>
      <c r="C117" s="198">
        <v>90</v>
      </c>
      <c r="D117" s="336">
        <v>92</v>
      </c>
      <c r="E117" s="194">
        <v>92</v>
      </c>
      <c r="F117" s="334">
        <f t="shared" si="2"/>
        <v>135.29</v>
      </c>
      <c r="G117" s="334">
        <f t="shared" si="3"/>
        <v>102.22</v>
      </c>
    </row>
    <row r="118" spans="1:7" s="332" customFormat="1" ht="19.5" customHeight="1">
      <c r="A118" s="337" t="s">
        <v>188</v>
      </c>
      <c r="B118" s="197">
        <v>114</v>
      </c>
      <c r="C118" s="198">
        <v>144</v>
      </c>
      <c r="D118" s="336">
        <v>146</v>
      </c>
      <c r="E118" s="194">
        <v>146</v>
      </c>
      <c r="F118" s="334">
        <f t="shared" si="2"/>
        <v>128.07</v>
      </c>
      <c r="G118" s="334">
        <f t="shared" si="3"/>
        <v>101.39</v>
      </c>
    </row>
    <row r="119" spans="1:7" s="332" customFormat="1" ht="19.5" customHeight="1">
      <c r="A119" s="337" t="s">
        <v>189</v>
      </c>
      <c r="B119" s="197">
        <v>984</v>
      </c>
      <c r="C119" s="198">
        <v>1164</v>
      </c>
      <c r="D119" s="336">
        <v>1168</v>
      </c>
      <c r="E119" s="194">
        <v>1168</v>
      </c>
      <c r="F119" s="334">
        <f t="shared" si="2"/>
        <v>118.7</v>
      </c>
      <c r="G119" s="334">
        <f t="shared" si="3"/>
        <v>100.34</v>
      </c>
    </row>
    <row r="120" spans="1:7" s="332" customFormat="1" ht="19.5" customHeight="1">
      <c r="A120" s="337" t="s">
        <v>191</v>
      </c>
      <c r="B120" s="194">
        <f>B121+B122+B123</f>
        <v>603</v>
      </c>
      <c r="C120" s="194">
        <f>C121+C122+C123</f>
        <v>762</v>
      </c>
      <c r="D120" s="336">
        <v>766</v>
      </c>
      <c r="E120" s="194">
        <f>E121+E122+E123</f>
        <v>765</v>
      </c>
      <c r="F120" s="334">
        <f t="shared" si="2"/>
        <v>126.87</v>
      </c>
      <c r="G120" s="334">
        <f t="shared" si="3"/>
        <v>100.39</v>
      </c>
    </row>
    <row r="121" spans="1:7" s="332" customFormat="1" ht="19.5" customHeight="1">
      <c r="A121" s="337" t="s">
        <v>192</v>
      </c>
      <c r="B121" s="197">
        <v>513</v>
      </c>
      <c r="C121" s="198">
        <v>644</v>
      </c>
      <c r="D121" s="336">
        <v>647</v>
      </c>
      <c r="E121" s="194">
        <v>647</v>
      </c>
      <c r="F121" s="334">
        <f t="shared" si="2"/>
        <v>126.12</v>
      </c>
      <c r="G121" s="334">
        <f t="shared" si="3"/>
        <v>100.47</v>
      </c>
    </row>
    <row r="122" spans="1:7" s="332" customFormat="1" ht="19.5" customHeight="1">
      <c r="A122" s="337" t="s">
        <v>193</v>
      </c>
      <c r="B122" s="194">
        <v>0</v>
      </c>
      <c r="C122" s="194">
        <v>0</v>
      </c>
      <c r="D122" s="338">
        <v>0</v>
      </c>
      <c r="E122" s="194">
        <v>0</v>
      </c>
      <c r="F122" s="334">
        <f t="shared" si="2"/>
        <v>0</v>
      </c>
      <c r="G122" s="334">
        <f t="shared" si="3"/>
        <v>0</v>
      </c>
    </row>
    <row r="123" spans="1:7" s="332" customFormat="1" ht="19.5" customHeight="1">
      <c r="A123" s="337" t="s">
        <v>194</v>
      </c>
      <c r="B123" s="197">
        <v>90</v>
      </c>
      <c r="C123" s="198">
        <v>118</v>
      </c>
      <c r="D123" s="336">
        <v>118</v>
      </c>
      <c r="E123" s="194">
        <v>118</v>
      </c>
      <c r="F123" s="334">
        <f t="shared" si="2"/>
        <v>131.11</v>
      </c>
      <c r="G123" s="334">
        <f t="shared" si="3"/>
        <v>100</v>
      </c>
    </row>
    <row r="124" spans="1:7" s="332" customFormat="1" ht="19.5" customHeight="1">
      <c r="A124" s="337" t="s">
        <v>195</v>
      </c>
      <c r="B124" s="194">
        <f>B125</f>
        <v>154</v>
      </c>
      <c r="C124" s="194">
        <f>C125</f>
        <v>184</v>
      </c>
      <c r="D124" s="336">
        <v>183</v>
      </c>
      <c r="E124" s="194">
        <f>E125</f>
        <v>183</v>
      </c>
      <c r="F124" s="334">
        <f t="shared" si="2"/>
        <v>118.83</v>
      </c>
      <c r="G124" s="334">
        <f t="shared" si="3"/>
        <v>99.46</v>
      </c>
    </row>
    <row r="125" spans="1:7" s="332" customFormat="1" ht="19.5" customHeight="1">
      <c r="A125" s="337" t="s">
        <v>196</v>
      </c>
      <c r="B125" s="197">
        <v>154</v>
      </c>
      <c r="C125" s="198">
        <v>184</v>
      </c>
      <c r="D125" s="336">
        <v>183</v>
      </c>
      <c r="E125" s="194">
        <v>183</v>
      </c>
      <c r="F125" s="334">
        <f t="shared" si="2"/>
        <v>118.83</v>
      </c>
      <c r="G125" s="334">
        <f t="shared" si="3"/>
        <v>99.46</v>
      </c>
    </row>
    <row r="126" spans="1:7" s="332" customFormat="1" ht="19.5" customHeight="1">
      <c r="A126" s="337" t="s">
        <v>197</v>
      </c>
      <c r="B126" s="194">
        <f>B127</f>
        <v>35</v>
      </c>
      <c r="C126" s="194">
        <f>C127</f>
        <v>51</v>
      </c>
      <c r="D126" s="336">
        <v>51</v>
      </c>
      <c r="E126" s="194">
        <f>E127</f>
        <v>51</v>
      </c>
      <c r="F126" s="334">
        <f t="shared" si="2"/>
        <v>145.71</v>
      </c>
      <c r="G126" s="334">
        <f t="shared" si="3"/>
        <v>100</v>
      </c>
    </row>
    <row r="127" spans="1:7" s="332" customFormat="1" ht="19.5" customHeight="1">
      <c r="A127" s="337" t="s">
        <v>198</v>
      </c>
      <c r="B127" s="197">
        <v>35</v>
      </c>
      <c r="C127" s="198">
        <v>51</v>
      </c>
      <c r="D127" s="336">
        <v>51</v>
      </c>
      <c r="E127" s="194">
        <v>51</v>
      </c>
      <c r="F127" s="334">
        <f t="shared" si="2"/>
        <v>145.71</v>
      </c>
      <c r="G127" s="334">
        <f t="shared" si="3"/>
        <v>100</v>
      </c>
    </row>
    <row r="128" spans="1:7" s="332" customFormat="1" ht="19.5" customHeight="1">
      <c r="A128" s="337" t="s">
        <v>199</v>
      </c>
      <c r="B128" s="194">
        <f>B129</f>
        <v>88</v>
      </c>
      <c r="C128" s="194">
        <f>C129</f>
        <v>104</v>
      </c>
      <c r="D128" s="336">
        <v>104</v>
      </c>
      <c r="E128" s="194">
        <f>E129</f>
        <v>104</v>
      </c>
      <c r="F128" s="334">
        <f t="shared" si="2"/>
        <v>118.18</v>
      </c>
      <c r="G128" s="334">
        <f t="shared" si="3"/>
        <v>100</v>
      </c>
    </row>
    <row r="129" spans="1:7" s="332" customFormat="1" ht="19.5" customHeight="1">
      <c r="A129" s="337" t="s">
        <v>200</v>
      </c>
      <c r="B129" s="197">
        <v>88</v>
      </c>
      <c r="C129" s="198">
        <v>104</v>
      </c>
      <c r="D129" s="336">
        <v>104</v>
      </c>
      <c r="E129" s="194">
        <v>104</v>
      </c>
      <c r="F129" s="334">
        <f t="shared" si="2"/>
        <v>118.18</v>
      </c>
      <c r="G129" s="334">
        <f t="shared" si="3"/>
        <v>100</v>
      </c>
    </row>
    <row r="130" spans="1:7" s="332" customFormat="1" ht="19.5" customHeight="1">
      <c r="A130" s="337" t="s">
        <v>201</v>
      </c>
      <c r="B130" s="194">
        <f>B131+B132</f>
        <v>257</v>
      </c>
      <c r="C130" s="194">
        <f>C131+C132</f>
        <v>326</v>
      </c>
      <c r="D130" s="336">
        <v>328</v>
      </c>
      <c r="E130" s="194">
        <f>E131+E132</f>
        <v>328</v>
      </c>
      <c r="F130" s="334">
        <f t="shared" si="2"/>
        <v>127.63</v>
      </c>
      <c r="G130" s="334">
        <f t="shared" si="3"/>
        <v>100.61</v>
      </c>
    </row>
    <row r="131" spans="1:7" s="332" customFormat="1" ht="19.5" customHeight="1">
      <c r="A131" s="337" t="s">
        <v>202</v>
      </c>
      <c r="B131" s="197">
        <v>149</v>
      </c>
      <c r="C131" s="198">
        <v>202</v>
      </c>
      <c r="D131" s="336">
        <v>201</v>
      </c>
      <c r="E131" s="194">
        <v>201</v>
      </c>
      <c r="F131" s="334">
        <f t="shared" si="2"/>
        <v>134.9</v>
      </c>
      <c r="G131" s="334">
        <f t="shared" si="3"/>
        <v>99.5</v>
      </c>
    </row>
    <row r="132" spans="1:7" s="332" customFormat="1" ht="19.5" customHeight="1">
      <c r="A132" s="337" t="s">
        <v>203</v>
      </c>
      <c r="B132" s="197">
        <v>108</v>
      </c>
      <c r="C132" s="198">
        <v>124</v>
      </c>
      <c r="D132" s="336">
        <v>127</v>
      </c>
      <c r="E132" s="194">
        <v>127</v>
      </c>
      <c r="F132" s="334">
        <f t="shared" si="2"/>
        <v>117.59</v>
      </c>
      <c r="G132" s="334">
        <f t="shared" si="3"/>
        <v>102.42</v>
      </c>
    </row>
    <row r="133" spans="1:7" s="332" customFormat="1" ht="19.5" customHeight="1">
      <c r="A133" s="337" t="s">
        <v>204</v>
      </c>
      <c r="B133" s="194">
        <f>B134</f>
        <v>104</v>
      </c>
      <c r="C133" s="194">
        <f>C134</f>
        <v>134</v>
      </c>
      <c r="D133" s="336">
        <v>136</v>
      </c>
      <c r="E133" s="194">
        <f>E134</f>
        <v>136</v>
      </c>
      <c r="F133" s="334">
        <f>IF(B133=0,0,E133/B133*100)</f>
        <v>130.77</v>
      </c>
      <c r="G133" s="334">
        <f aca="true" t="shared" si="4" ref="G133:G196">IF(E133=0,0,E133/C133*100)</f>
        <v>101.49</v>
      </c>
    </row>
    <row r="134" spans="1:7" s="332" customFormat="1" ht="19.5" customHeight="1">
      <c r="A134" s="337" t="s">
        <v>205</v>
      </c>
      <c r="B134" s="197">
        <v>104</v>
      </c>
      <c r="C134" s="198">
        <v>134</v>
      </c>
      <c r="D134" s="336">
        <v>136</v>
      </c>
      <c r="E134" s="194">
        <v>136</v>
      </c>
      <c r="F134" s="334">
        <f>IF(B134=0,0,E134/B134*100)</f>
        <v>130.77</v>
      </c>
      <c r="G134" s="334">
        <f t="shared" si="4"/>
        <v>101.49</v>
      </c>
    </row>
    <row r="135" spans="1:7" s="332" customFormat="1" ht="19.5" customHeight="1">
      <c r="A135" s="337" t="s">
        <v>206</v>
      </c>
      <c r="B135" s="194">
        <v>0</v>
      </c>
      <c r="C135" s="194">
        <v>0</v>
      </c>
      <c r="D135" s="338">
        <v>0</v>
      </c>
      <c r="E135" s="194">
        <v>0</v>
      </c>
      <c r="F135" s="334">
        <f>IF(B135=0,0,E135/B135*100)</f>
        <v>0</v>
      </c>
      <c r="G135" s="334">
        <f t="shared" si="4"/>
        <v>0</v>
      </c>
    </row>
    <row r="136" spans="1:7" s="332" customFormat="1" ht="19.5" customHeight="1">
      <c r="A136" s="337" t="s">
        <v>584</v>
      </c>
      <c r="B136" s="194">
        <f>B137+B139+B142+B145+B149+B154+B157</f>
        <v>23762</v>
      </c>
      <c r="C136" s="194">
        <f>C137+C139+C142+C145+C149+C154+C157-1</f>
        <v>27747</v>
      </c>
      <c r="D136" s="336">
        <v>28469</v>
      </c>
      <c r="E136" s="194">
        <f>E137+E139+E142+E145+E149+E154+E157</f>
        <v>28464</v>
      </c>
      <c r="F136" s="334">
        <f aca="true" t="shared" si="5" ref="F136:F199">IF(B136=0,0,E136/B136*100)</f>
        <v>119.79</v>
      </c>
      <c r="G136" s="334">
        <f t="shared" si="4"/>
        <v>102.58</v>
      </c>
    </row>
    <row r="137" spans="1:7" s="332" customFormat="1" ht="19.5" customHeight="1">
      <c r="A137" s="337" t="s">
        <v>207</v>
      </c>
      <c r="B137" s="194">
        <f>B138</f>
        <v>782</v>
      </c>
      <c r="C137" s="194">
        <f>C138</f>
        <v>960</v>
      </c>
      <c r="D137" s="336">
        <v>927</v>
      </c>
      <c r="E137" s="194">
        <f>E138</f>
        <v>927</v>
      </c>
      <c r="F137" s="334">
        <f t="shared" si="5"/>
        <v>118.54</v>
      </c>
      <c r="G137" s="334">
        <f t="shared" si="4"/>
        <v>96.56</v>
      </c>
    </row>
    <row r="138" spans="1:7" s="332" customFormat="1" ht="19.5" customHeight="1">
      <c r="A138" s="337" t="s">
        <v>208</v>
      </c>
      <c r="B138" s="197">
        <v>782</v>
      </c>
      <c r="C138" s="198">
        <v>960</v>
      </c>
      <c r="D138" s="336">
        <v>927</v>
      </c>
      <c r="E138" s="194">
        <v>927</v>
      </c>
      <c r="F138" s="334">
        <f t="shared" si="5"/>
        <v>118.54</v>
      </c>
      <c r="G138" s="334">
        <f t="shared" si="4"/>
        <v>96.56</v>
      </c>
    </row>
    <row r="139" spans="1:7" s="332" customFormat="1" ht="19.5" customHeight="1">
      <c r="A139" s="337" t="s">
        <v>209</v>
      </c>
      <c r="B139" s="194">
        <f>B140+B141</f>
        <v>308</v>
      </c>
      <c r="C139" s="194">
        <f>C140+C141</f>
        <v>630</v>
      </c>
      <c r="D139" s="336">
        <v>631</v>
      </c>
      <c r="E139" s="194">
        <f>E140+E141</f>
        <v>631</v>
      </c>
      <c r="F139" s="334">
        <f t="shared" si="5"/>
        <v>204.87</v>
      </c>
      <c r="G139" s="334">
        <f t="shared" si="4"/>
        <v>100.16</v>
      </c>
    </row>
    <row r="140" spans="1:7" s="332" customFormat="1" ht="19.5" customHeight="1">
      <c r="A140" s="337" t="s">
        <v>210</v>
      </c>
      <c r="B140" s="197">
        <v>207</v>
      </c>
      <c r="C140" s="198">
        <v>524</v>
      </c>
      <c r="D140" s="336">
        <v>525</v>
      </c>
      <c r="E140" s="194">
        <v>525</v>
      </c>
      <c r="F140" s="334">
        <f t="shared" si="5"/>
        <v>253.62</v>
      </c>
      <c r="G140" s="334">
        <f t="shared" si="4"/>
        <v>100.19</v>
      </c>
    </row>
    <row r="141" spans="1:7" s="332" customFormat="1" ht="19.5" customHeight="1">
      <c r="A141" s="337" t="s">
        <v>211</v>
      </c>
      <c r="B141" s="197">
        <v>101</v>
      </c>
      <c r="C141" s="198">
        <v>106</v>
      </c>
      <c r="D141" s="336">
        <v>106</v>
      </c>
      <c r="E141" s="199">
        <v>106.14</v>
      </c>
      <c r="F141" s="334">
        <f t="shared" si="5"/>
        <v>105.09</v>
      </c>
      <c r="G141" s="334">
        <f t="shared" si="4"/>
        <v>100.13</v>
      </c>
    </row>
    <row r="142" spans="1:7" s="332" customFormat="1" ht="19.5" customHeight="1">
      <c r="A142" s="337" t="s">
        <v>212</v>
      </c>
      <c r="B142" s="194">
        <f>B143+B144</f>
        <v>8305</v>
      </c>
      <c r="C142" s="194">
        <f>C143+C144</f>
        <v>10085</v>
      </c>
      <c r="D142" s="336">
        <v>10064</v>
      </c>
      <c r="E142" s="194">
        <f>E143+E144</f>
        <v>10065</v>
      </c>
      <c r="F142" s="334">
        <f t="shared" si="5"/>
        <v>121.19</v>
      </c>
      <c r="G142" s="334">
        <f t="shared" si="4"/>
        <v>99.8</v>
      </c>
    </row>
    <row r="143" spans="1:7" s="332" customFormat="1" ht="19.5" customHeight="1">
      <c r="A143" s="337" t="s">
        <v>213</v>
      </c>
      <c r="B143" s="197">
        <v>2745</v>
      </c>
      <c r="C143" s="198">
        <v>3486</v>
      </c>
      <c r="D143" s="336">
        <v>3474</v>
      </c>
      <c r="E143" s="194">
        <v>3474</v>
      </c>
      <c r="F143" s="334">
        <f t="shared" si="5"/>
        <v>126.56</v>
      </c>
      <c r="G143" s="334">
        <f t="shared" si="4"/>
        <v>99.66</v>
      </c>
    </row>
    <row r="144" spans="1:7" s="332" customFormat="1" ht="19.5" customHeight="1">
      <c r="A144" s="337" t="s">
        <v>214</v>
      </c>
      <c r="B144" s="197">
        <v>5560</v>
      </c>
      <c r="C144" s="198">
        <v>6599</v>
      </c>
      <c r="D144" s="336">
        <v>6591</v>
      </c>
      <c r="E144" s="194">
        <v>6591</v>
      </c>
      <c r="F144" s="334">
        <f t="shared" si="5"/>
        <v>118.54</v>
      </c>
      <c r="G144" s="334">
        <f t="shared" si="4"/>
        <v>99.88</v>
      </c>
    </row>
    <row r="145" spans="1:7" s="332" customFormat="1" ht="19.5" customHeight="1">
      <c r="A145" s="337" t="s">
        <v>215</v>
      </c>
      <c r="B145" s="194">
        <f>B146+B147+B148</f>
        <v>2996</v>
      </c>
      <c r="C145" s="194">
        <f>C146+C147+C148</f>
        <v>3745</v>
      </c>
      <c r="D145" s="336">
        <v>3733</v>
      </c>
      <c r="E145" s="194">
        <f>E146+E147+E148</f>
        <v>3733</v>
      </c>
      <c r="F145" s="334">
        <f t="shared" si="5"/>
        <v>124.6</v>
      </c>
      <c r="G145" s="334">
        <f t="shared" si="4"/>
        <v>99.68</v>
      </c>
    </row>
    <row r="146" spans="1:7" s="332" customFormat="1" ht="19.5" customHeight="1">
      <c r="A146" s="337" t="s">
        <v>216</v>
      </c>
      <c r="B146" s="197">
        <v>1513</v>
      </c>
      <c r="C146" s="198">
        <v>1834</v>
      </c>
      <c r="D146" s="336">
        <v>1825</v>
      </c>
      <c r="E146" s="194">
        <v>1825</v>
      </c>
      <c r="F146" s="334">
        <f t="shared" si="5"/>
        <v>120.62</v>
      </c>
      <c r="G146" s="334">
        <f t="shared" si="4"/>
        <v>99.51</v>
      </c>
    </row>
    <row r="147" spans="1:7" s="332" customFormat="1" ht="19.5" customHeight="1">
      <c r="A147" s="337" t="s">
        <v>217</v>
      </c>
      <c r="B147" s="197">
        <v>646</v>
      </c>
      <c r="C147" s="198">
        <v>832</v>
      </c>
      <c r="D147" s="336">
        <v>832</v>
      </c>
      <c r="E147" s="194">
        <v>832</v>
      </c>
      <c r="F147" s="334">
        <f t="shared" si="5"/>
        <v>128.79</v>
      </c>
      <c r="G147" s="334">
        <f t="shared" si="4"/>
        <v>100</v>
      </c>
    </row>
    <row r="148" spans="1:7" s="332" customFormat="1" ht="19.5" customHeight="1">
      <c r="A148" s="337" t="s">
        <v>218</v>
      </c>
      <c r="B148" s="197">
        <v>837</v>
      </c>
      <c r="C148" s="198">
        <v>1079</v>
      </c>
      <c r="D148" s="336">
        <v>1076</v>
      </c>
      <c r="E148" s="194">
        <v>1076</v>
      </c>
      <c r="F148" s="334">
        <f t="shared" si="5"/>
        <v>128.55</v>
      </c>
      <c r="G148" s="334">
        <f t="shared" si="4"/>
        <v>99.72</v>
      </c>
    </row>
    <row r="149" spans="1:7" s="332" customFormat="1" ht="19.5" customHeight="1">
      <c r="A149" s="342" t="s">
        <v>1072</v>
      </c>
      <c r="B149" s="194">
        <f>B150+B151+B152+B153</f>
        <v>11294</v>
      </c>
      <c r="C149" s="194">
        <f>C150+C151+C152+C153</f>
        <v>12245</v>
      </c>
      <c r="D149" s="336">
        <v>13032</v>
      </c>
      <c r="E149" s="194">
        <f>E150+E151+E152+E153</f>
        <v>13025</v>
      </c>
      <c r="F149" s="334">
        <f t="shared" si="5"/>
        <v>115.33</v>
      </c>
      <c r="G149" s="334">
        <f t="shared" si="4"/>
        <v>106.37</v>
      </c>
    </row>
    <row r="150" spans="1:7" s="332" customFormat="1" ht="19.5" customHeight="1">
      <c r="A150" s="164" t="s">
        <v>1048</v>
      </c>
      <c r="B150" s="197">
        <v>2789</v>
      </c>
      <c r="C150" s="198">
        <v>2840</v>
      </c>
      <c r="D150" s="336">
        <v>2840</v>
      </c>
      <c r="E150" s="194">
        <v>2835</v>
      </c>
      <c r="F150" s="334">
        <f t="shared" si="5"/>
        <v>101.65</v>
      </c>
      <c r="G150" s="334">
        <f t="shared" si="4"/>
        <v>99.82</v>
      </c>
    </row>
    <row r="151" spans="1:7" s="332" customFormat="1" ht="19.5" customHeight="1">
      <c r="A151" s="164" t="s">
        <v>1049</v>
      </c>
      <c r="B151" s="197">
        <v>5890</v>
      </c>
      <c r="C151" s="198">
        <v>6703</v>
      </c>
      <c r="D151" s="336">
        <v>6703</v>
      </c>
      <c r="E151" s="194">
        <v>6702</v>
      </c>
      <c r="F151" s="334">
        <f>IF(B151=0,0,E151/B151*100)</f>
        <v>113.79</v>
      </c>
      <c r="G151" s="334">
        <f>IF(E151=0,0,E151/C151*100)</f>
        <v>99.99</v>
      </c>
    </row>
    <row r="152" spans="1:7" s="332" customFormat="1" ht="19.5" customHeight="1">
      <c r="A152" s="164" t="s">
        <v>1050</v>
      </c>
      <c r="B152" s="197">
        <v>2560</v>
      </c>
      <c r="C152" s="198">
        <v>2636</v>
      </c>
      <c r="D152" s="336">
        <v>3421</v>
      </c>
      <c r="E152" s="194">
        <v>3421</v>
      </c>
      <c r="F152" s="334">
        <f>IF(B152=0,0,E152/B152*100)</f>
        <v>133.63</v>
      </c>
      <c r="G152" s="334">
        <f>IF(E152=0,0,E152/C152*100)</f>
        <v>129.78</v>
      </c>
    </row>
    <row r="153" spans="1:7" s="332" customFormat="1" ht="19.5" customHeight="1">
      <c r="A153" s="164" t="s">
        <v>1051</v>
      </c>
      <c r="B153" s="197">
        <v>55</v>
      </c>
      <c r="C153" s="198">
        <v>66</v>
      </c>
      <c r="D153" s="336">
        <v>67</v>
      </c>
      <c r="E153" s="194">
        <v>67</v>
      </c>
      <c r="F153" s="334">
        <f t="shared" si="5"/>
        <v>121.82</v>
      </c>
      <c r="G153" s="334">
        <f t="shared" si="4"/>
        <v>101.52</v>
      </c>
    </row>
    <row r="154" spans="1:7" s="332" customFormat="1" ht="19.5" customHeight="1">
      <c r="A154" s="337" t="s">
        <v>219</v>
      </c>
      <c r="B154" s="194">
        <f>B155+B156</f>
        <v>77</v>
      </c>
      <c r="C154" s="194">
        <f>C155+C156</f>
        <v>83</v>
      </c>
      <c r="D154" s="336">
        <v>83</v>
      </c>
      <c r="E154" s="194">
        <f>E155+E156</f>
        <v>83</v>
      </c>
      <c r="F154" s="334">
        <f t="shared" si="5"/>
        <v>107.79</v>
      </c>
      <c r="G154" s="334">
        <f t="shared" si="4"/>
        <v>100</v>
      </c>
    </row>
    <row r="155" spans="1:7" s="332" customFormat="1" ht="19.5" customHeight="1">
      <c r="A155" s="337" t="s">
        <v>220</v>
      </c>
      <c r="B155" s="194">
        <v>0</v>
      </c>
      <c r="C155" s="194">
        <v>0</v>
      </c>
      <c r="D155" s="338">
        <v>0</v>
      </c>
      <c r="E155" s="194">
        <v>0</v>
      </c>
      <c r="F155" s="334">
        <f t="shared" si="5"/>
        <v>0</v>
      </c>
      <c r="G155" s="334">
        <f t="shared" si="4"/>
        <v>0</v>
      </c>
    </row>
    <row r="156" spans="1:7" s="332" customFormat="1" ht="19.5" customHeight="1">
      <c r="A156" s="337" t="s">
        <v>221</v>
      </c>
      <c r="B156" s="197">
        <v>77</v>
      </c>
      <c r="C156" s="198">
        <v>83</v>
      </c>
      <c r="D156" s="336">
        <v>83</v>
      </c>
      <c r="E156" s="194">
        <v>83</v>
      </c>
      <c r="F156" s="334">
        <f t="shared" si="5"/>
        <v>107.79</v>
      </c>
      <c r="G156" s="334">
        <f t="shared" si="4"/>
        <v>100</v>
      </c>
    </row>
    <row r="157" spans="1:7" s="332" customFormat="1" ht="19.5" customHeight="1">
      <c r="A157" s="337" t="s">
        <v>222</v>
      </c>
      <c r="B157" s="194">
        <f>B158</f>
        <v>0</v>
      </c>
      <c r="C157" s="194">
        <f>C158</f>
        <v>0</v>
      </c>
      <c r="D157" s="338">
        <v>0</v>
      </c>
      <c r="E157" s="194">
        <f>E158</f>
        <v>0</v>
      </c>
      <c r="F157" s="334">
        <f>IF(B157=0,0,E157/B157*100)</f>
        <v>0</v>
      </c>
      <c r="G157" s="334">
        <f>IF(E157=0,0,E157/C157*100)</f>
        <v>0</v>
      </c>
    </row>
    <row r="158" spans="1:7" s="332" customFormat="1" ht="19.5" customHeight="1">
      <c r="A158" s="337" t="s">
        <v>223</v>
      </c>
      <c r="B158" s="194">
        <v>0</v>
      </c>
      <c r="C158" s="194">
        <v>0</v>
      </c>
      <c r="D158" s="338">
        <v>0</v>
      </c>
      <c r="E158" s="194">
        <v>0</v>
      </c>
      <c r="F158" s="334">
        <f>IF(B158=0,0,E158/B158*100)</f>
        <v>0</v>
      </c>
      <c r="G158" s="334">
        <f>IF(E158=0,0,E158/C158*100)</f>
        <v>0</v>
      </c>
    </row>
    <row r="159" spans="1:7" s="332" customFormat="1" ht="19.5" customHeight="1">
      <c r="A159" s="337" t="s">
        <v>585</v>
      </c>
      <c r="B159" s="194">
        <f>B160+B162</f>
        <v>1194</v>
      </c>
      <c r="C159" s="194">
        <f>C160+C162-1</f>
        <v>1405</v>
      </c>
      <c r="D159" s="336">
        <v>1403</v>
      </c>
      <c r="E159" s="194">
        <f>E160+E162</f>
        <v>1403</v>
      </c>
      <c r="F159" s="334">
        <f t="shared" si="5"/>
        <v>117.5</v>
      </c>
      <c r="G159" s="334">
        <f t="shared" si="4"/>
        <v>99.86</v>
      </c>
    </row>
    <row r="160" spans="1:7" s="332" customFormat="1" ht="19.5" customHeight="1">
      <c r="A160" s="337" t="s">
        <v>224</v>
      </c>
      <c r="B160" s="194">
        <f>B161</f>
        <v>605</v>
      </c>
      <c r="C160" s="194">
        <f>C161</f>
        <v>708</v>
      </c>
      <c r="D160" s="336">
        <v>706</v>
      </c>
      <c r="E160" s="194">
        <f>E161</f>
        <v>706</v>
      </c>
      <c r="F160" s="334">
        <f t="shared" si="5"/>
        <v>116.69</v>
      </c>
      <c r="G160" s="334">
        <f t="shared" si="4"/>
        <v>99.72</v>
      </c>
    </row>
    <row r="161" spans="1:7" s="332" customFormat="1" ht="19.5" customHeight="1">
      <c r="A161" s="337" t="s">
        <v>225</v>
      </c>
      <c r="B161" s="197">
        <v>605</v>
      </c>
      <c r="C161" s="198">
        <v>708</v>
      </c>
      <c r="D161" s="336">
        <v>706</v>
      </c>
      <c r="E161" s="194">
        <v>706</v>
      </c>
      <c r="F161" s="334">
        <f t="shared" si="5"/>
        <v>116.69</v>
      </c>
      <c r="G161" s="334">
        <f t="shared" si="4"/>
        <v>99.72</v>
      </c>
    </row>
    <row r="162" spans="1:7" s="332" customFormat="1" ht="19.5" customHeight="1">
      <c r="A162" s="337" t="s">
        <v>226</v>
      </c>
      <c r="B162" s="194">
        <f>B163</f>
        <v>589</v>
      </c>
      <c r="C162" s="194">
        <f>C163</f>
        <v>698</v>
      </c>
      <c r="D162" s="336">
        <v>697</v>
      </c>
      <c r="E162" s="194">
        <f>E163</f>
        <v>697</v>
      </c>
      <c r="F162" s="334">
        <f t="shared" si="5"/>
        <v>118.34</v>
      </c>
      <c r="G162" s="334">
        <f t="shared" si="4"/>
        <v>99.86</v>
      </c>
    </row>
    <row r="163" spans="1:7" s="332" customFormat="1" ht="19.5" customHeight="1">
      <c r="A163" s="337" t="s">
        <v>227</v>
      </c>
      <c r="B163" s="197">
        <v>589</v>
      </c>
      <c r="C163" s="198">
        <v>698</v>
      </c>
      <c r="D163" s="336">
        <v>697</v>
      </c>
      <c r="E163" s="194">
        <v>697</v>
      </c>
      <c r="F163" s="334">
        <f t="shared" si="5"/>
        <v>118.34</v>
      </c>
      <c r="G163" s="334">
        <f t="shared" si="4"/>
        <v>99.86</v>
      </c>
    </row>
    <row r="164" spans="1:7" s="332" customFormat="1" ht="19.5" customHeight="1">
      <c r="A164" s="337" t="s">
        <v>586</v>
      </c>
      <c r="B164" s="194">
        <f>B165+B169+B171+1</f>
        <v>7289</v>
      </c>
      <c r="C164" s="194">
        <f>C165+C169+C171</f>
        <v>9122</v>
      </c>
      <c r="D164" s="336">
        <v>9114</v>
      </c>
      <c r="E164" s="194">
        <f>E165+E169+E171</f>
        <v>9114</v>
      </c>
      <c r="F164" s="334">
        <f t="shared" si="5"/>
        <v>125.04</v>
      </c>
      <c r="G164" s="334">
        <f t="shared" si="4"/>
        <v>99.91</v>
      </c>
    </row>
    <row r="165" spans="1:7" s="332" customFormat="1" ht="19.5" customHeight="1">
      <c r="A165" s="337" t="s">
        <v>228</v>
      </c>
      <c r="B165" s="194">
        <f>B166+B167+B168</f>
        <v>5929</v>
      </c>
      <c r="C165" s="194">
        <f>C166+C167+C168</f>
        <v>7544</v>
      </c>
      <c r="D165" s="336">
        <v>7503</v>
      </c>
      <c r="E165" s="194">
        <f>E166+E167+E168</f>
        <v>7503</v>
      </c>
      <c r="F165" s="334">
        <f t="shared" si="5"/>
        <v>126.55</v>
      </c>
      <c r="G165" s="334">
        <f t="shared" si="4"/>
        <v>99.46</v>
      </c>
    </row>
    <row r="166" spans="1:7" s="332" customFormat="1" ht="19.5" customHeight="1">
      <c r="A166" s="337" t="s">
        <v>229</v>
      </c>
      <c r="B166" s="197">
        <v>1502</v>
      </c>
      <c r="C166" s="198">
        <v>1970</v>
      </c>
      <c r="D166" s="336">
        <v>1936</v>
      </c>
      <c r="E166" s="194">
        <v>1936</v>
      </c>
      <c r="F166" s="334">
        <f t="shared" si="5"/>
        <v>128.89</v>
      </c>
      <c r="G166" s="334">
        <f t="shared" si="4"/>
        <v>98.27</v>
      </c>
    </row>
    <row r="167" spans="1:7" s="332" customFormat="1" ht="19.5" customHeight="1">
      <c r="A167" s="337" t="s">
        <v>230</v>
      </c>
      <c r="B167" s="197">
        <v>3840</v>
      </c>
      <c r="C167" s="198">
        <v>4789</v>
      </c>
      <c r="D167" s="336">
        <v>4789</v>
      </c>
      <c r="E167" s="194">
        <v>4789</v>
      </c>
      <c r="F167" s="334">
        <f t="shared" si="5"/>
        <v>124.71</v>
      </c>
      <c r="G167" s="334">
        <f t="shared" si="4"/>
        <v>100</v>
      </c>
    </row>
    <row r="168" spans="1:7" s="332" customFormat="1" ht="19.5" customHeight="1">
      <c r="A168" s="337" t="s">
        <v>231</v>
      </c>
      <c r="B168" s="197">
        <v>587</v>
      </c>
      <c r="C168" s="198">
        <v>785</v>
      </c>
      <c r="D168" s="336">
        <v>778</v>
      </c>
      <c r="E168" s="194">
        <v>778</v>
      </c>
      <c r="F168" s="334">
        <f t="shared" si="5"/>
        <v>132.54</v>
      </c>
      <c r="G168" s="334">
        <f t="shared" si="4"/>
        <v>99.11</v>
      </c>
    </row>
    <row r="169" spans="1:7" s="332" customFormat="1" ht="19.5" customHeight="1">
      <c r="A169" s="337" t="s">
        <v>232</v>
      </c>
      <c r="B169" s="194">
        <f>B170</f>
        <v>107</v>
      </c>
      <c r="C169" s="194">
        <f>C170</f>
        <v>120</v>
      </c>
      <c r="D169" s="336">
        <v>121</v>
      </c>
      <c r="E169" s="194">
        <f>E170</f>
        <v>121</v>
      </c>
      <c r="F169" s="334">
        <f t="shared" si="5"/>
        <v>113.08</v>
      </c>
      <c r="G169" s="334">
        <f t="shared" si="4"/>
        <v>100.83</v>
      </c>
    </row>
    <row r="170" spans="1:7" s="332" customFormat="1" ht="19.5" customHeight="1">
      <c r="A170" s="337" t="s">
        <v>233</v>
      </c>
      <c r="B170" s="197">
        <v>107</v>
      </c>
      <c r="C170" s="198">
        <v>120</v>
      </c>
      <c r="D170" s="336">
        <v>121</v>
      </c>
      <c r="E170" s="194">
        <v>121</v>
      </c>
      <c r="F170" s="334">
        <f t="shared" si="5"/>
        <v>113.08</v>
      </c>
      <c r="G170" s="334">
        <f t="shared" si="4"/>
        <v>100.83</v>
      </c>
    </row>
    <row r="171" spans="1:7" s="332" customFormat="1" ht="19.5" customHeight="1">
      <c r="A171" s="337" t="s">
        <v>234</v>
      </c>
      <c r="B171" s="194">
        <f>B172</f>
        <v>1252</v>
      </c>
      <c r="C171" s="194">
        <f>C172</f>
        <v>1458</v>
      </c>
      <c r="D171" s="336">
        <v>1490</v>
      </c>
      <c r="E171" s="194">
        <f>E172</f>
        <v>1490</v>
      </c>
      <c r="F171" s="334">
        <f t="shared" si="5"/>
        <v>119.01</v>
      </c>
      <c r="G171" s="334">
        <f t="shared" si="4"/>
        <v>102.19</v>
      </c>
    </row>
    <row r="172" spans="1:7" s="332" customFormat="1" ht="19.5" customHeight="1">
      <c r="A172" s="337" t="s">
        <v>235</v>
      </c>
      <c r="B172" s="197">
        <v>1252</v>
      </c>
      <c r="C172" s="198">
        <v>1458</v>
      </c>
      <c r="D172" s="336">
        <v>1490</v>
      </c>
      <c r="E172" s="194">
        <v>1490</v>
      </c>
      <c r="F172" s="334">
        <f t="shared" si="5"/>
        <v>119.01</v>
      </c>
      <c r="G172" s="334">
        <f t="shared" si="4"/>
        <v>102.19</v>
      </c>
    </row>
    <row r="173" spans="1:7" s="332" customFormat="1" ht="19.5" customHeight="1">
      <c r="A173" s="337" t="s">
        <v>587</v>
      </c>
      <c r="B173" s="194">
        <f>B174+B177+B179</f>
        <v>7040</v>
      </c>
      <c r="C173" s="194">
        <f>C174+C177+C179+1</f>
        <v>8203</v>
      </c>
      <c r="D173" s="336">
        <v>8216</v>
      </c>
      <c r="E173" s="194">
        <f>E174+E177+E179</f>
        <v>8214</v>
      </c>
      <c r="F173" s="334">
        <f t="shared" si="5"/>
        <v>116.68</v>
      </c>
      <c r="G173" s="334">
        <f t="shared" si="4"/>
        <v>100.13</v>
      </c>
    </row>
    <row r="174" spans="1:7" s="332" customFormat="1" ht="19.5" customHeight="1">
      <c r="A174" s="337" t="s">
        <v>236</v>
      </c>
      <c r="B174" s="194">
        <f>B175+B176</f>
        <v>3464</v>
      </c>
      <c r="C174" s="194">
        <f>C175+C176</f>
        <v>4073</v>
      </c>
      <c r="D174" s="336">
        <v>4082</v>
      </c>
      <c r="E174" s="194">
        <f>E175+E176</f>
        <v>4082</v>
      </c>
      <c r="F174" s="334">
        <f t="shared" si="5"/>
        <v>117.84</v>
      </c>
      <c r="G174" s="334">
        <f t="shared" si="4"/>
        <v>100.22</v>
      </c>
    </row>
    <row r="175" spans="1:7" s="332" customFormat="1" ht="19.5" customHeight="1">
      <c r="A175" s="337" t="s">
        <v>237</v>
      </c>
      <c r="B175" s="197">
        <v>964</v>
      </c>
      <c r="C175" s="198">
        <v>1199</v>
      </c>
      <c r="D175" s="336">
        <v>1199</v>
      </c>
      <c r="E175" s="194">
        <v>1199</v>
      </c>
      <c r="F175" s="334">
        <f t="shared" si="5"/>
        <v>124.38</v>
      </c>
      <c r="G175" s="334">
        <f t="shared" si="4"/>
        <v>100</v>
      </c>
    </row>
    <row r="176" spans="1:7" s="332" customFormat="1" ht="19.5" customHeight="1">
      <c r="A176" s="337" t="s">
        <v>238</v>
      </c>
      <c r="B176" s="197">
        <v>2500</v>
      </c>
      <c r="C176" s="198">
        <v>2874</v>
      </c>
      <c r="D176" s="336">
        <v>2883</v>
      </c>
      <c r="E176" s="194">
        <v>2883</v>
      </c>
      <c r="F176" s="334">
        <f t="shared" si="5"/>
        <v>115.32</v>
      </c>
      <c r="G176" s="334">
        <f t="shared" si="4"/>
        <v>100.31</v>
      </c>
    </row>
    <row r="177" spans="1:7" s="332" customFormat="1" ht="19.5" customHeight="1">
      <c r="A177" s="337" t="s">
        <v>239</v>
      </c>
      <c r="B177" s="194">
        <f>B178</f>
        <v>95</v>
      </c>
      <c r="C177" s="194">
        <f>C178</f>
        <v>113</v>
      </c>
      <c r="D177" s="336">
        <v>113</v>
      </c>
      <c r="E177" s="194">
        <f>E178</f>
        <v>113</v>
      </c>
      <c r="F177" s="334">
        <f t="shared" si="5"/>
        <v>118.95</v>
      </c>
      <c r="G177" s="334">
        <f t="shared" si="4"/>
        <v>100</v>
      </c>
    </row>
    <row r="178" spans="1:7" s="332" customFormat="1" ht="19.5" customHeight="1">
      <c r="A178" s="337" t="s">
        <v>240</v>
      </c>
      <c r="B178" s="197">
        <v>95</v>
      </c>
      <c r="C178" s="198">
        <v>113</v>
      </c>
      <c r="D178" s="336">
        <v>113</v>
      </c>
      <c r="E178" s="194">
        <v>113</v>
      </c>
      <c r="F178" s="334">
        <f t="shared" si="5"/>
        <v>118.95</v>
      </c>
      <c r="G178" s="334">
        <f t="shared" si="4"/>
        <v>100</v>
      </c>
    </row>
    <row r="179" spans="1:7" s="332" customFormat="1" ht="19.5" customHeight="1">
      <c r="A179" s="337" t="s">
        <v>241</v>
      </c>
      <c r="B179" s="194">
        <f>B180+B181</f>
        <v>3481</v>
      </c>
      <c r="C179" s="194">
        <f>C180+C181</f>
        <v>4016</v>
      </c>
      <c r="D179" s="336">
        <v>4021</v>
      </c>
      <c r="E179" s="194">
        <f>E180+E181</f>
        <v>4019</v>
      </c>
      <c r="F179" s="334">
        <f t="shared" si="5"/>
        <v>115.46</v>
      </c>
      <c r="G179" s="334">
        <f t="shared" si="4"/>
        <v>100.07</v>
      </c>
    </row>
    <row r="180" spans="1:7" s="332" customFormat="1" ht="19.5" customHeight="1">
      <c r="A180" s="337" t="s">
        <v>242</v>
      </c>
      <c r="B180" s="197">
        <v>1057</v>
      </c>
      <c r="C180" s="198">
        <v>1217</v>
      </c>
      <c r="D180" s="336">
        <v>1196</v>
      </c>
      <c r="E180" s="194">
        <v>1196</v>
      </c>
      <c r="F180" s="334">
        <f t="shared" si="5"/>
        <v>113.15</v>
      </c>
      <c r="G180" s="334">
        <f t="shared" si="4"/>
        <v>98.27</v>
      </c>
    </row>
    <row r="181" spans="1:7" s="332" customFormat="1" ht="19.5" customHeight="1">
      <c r="A181" s="337" t="s">
        <v>243</v>
      </c>
      <c r="B181" s="197">
        <v>2424</v>
      </c>
      <c r="C181" s="198">
        <v>2799</v>
      </c>
      <c r="D181" s="336">
        <v>2825</v>
      </c>
      <c r="E181" s="194">
        <v>2823</v>
      </c>
      <c r="F181" s="334">
        <f t="shared" si="5"/>
        <v>116.46</v>
      </c>
      <c r="G181" s="334">
        <f t="shared" si="4"/>
        <v>100.86</v>
      </c>
    </row>
    <row r="182" spans="1:7" s="332" customFormat="1" ht="19.5" customHeight="1">
      <c r="A182" s="337" t="s">
        <v>588</v>
      </c>
      <c r="B182" s="194">
        <f aca="true" t="shared" si="6" ref="B182:E183">B183</f>
        <v>514</v>
      </c>
      <c r="C182" s="194">
        <f t="shared" si="6"/>
        <v>648</v>
      </c>
      <c r="D182" s="336">
        <v>645</v>
      </c>
      <c r="E182" s="194">
        <f t="shared" si="6"/>
        <v>645</v>
      </c>
      <c r="F182" s="334">
        <f t="shared" si="5"/>
        <v>125.49</v>
      </c>
      <c r="G182" s="334">
        <f t="shared" si="4"/>
        <v>99.54</v>
      </c>
    </row>
    <row r="183" spans="1:7" s="332" customFormat="1" ht="19.5" customHeight="1">
      <c r="A183" s="337" t="s">
        <v>244</v>
      </c>
      <c r="B183" s="194">
        <f t="shared" si="6"/>
        <v>514</v>
      </c>
      <c r="C183" s="194">
        <f t="shared" si="6"/>
        <v>648</v>
      </c>
      <c r="D183" s="336">
        <v>645</v>
      </c>
      <c r="E183" s="194">
        <f t="shared" si="6"/>
        <v>645</v>
      </c>
      <c r="F183" s="334">
        <f t="shared" si="5"/>
        <v>125.49</v>
      </c>
      <c r="G183" s="334">
        <f t="shared" si="4"/>
        <v>99.54</v>
      </c>
    </row>
    <row r="184" spans="1:7" s="332" customFormat="1" ht="19.5" customHeight="1">
      <c r="A184" s="337" t="s">
        <v>245</v>
      </c>
      <c r="B184" s="197">
        <v>514</v>
      </c>
      <c r="C184" s="198">
        <v>648</v>
      </c>
      <c r="D184" s="336">
        <v>645</v>
      </c>
      <c r="E184" s="194">
        <v>645</v>
      </c>
      <c r="F184" s="334">
        <f t="shared" si="5"/>
        <v>125.49</v>
      </c>
      <c r="G184" s="334">
        <f t="shared" si="4"/>
        <v>99.54</v>
      </c>
    </row>
    <row r="185" spans="1:7" s="332" customFormat="1" ht="19.5" customHeight="1">
      <c r="A185" s="337" t="s">
        <v>589</v>
      </c>
      <c r="B185" s="194">
        <f>B186+B188</f>
        <v>1594</v>
      </c>
      <c r="C185" s="194">
        <f>C186+C188</f>
        <v>2041</v>
      </c>
      <c r="D185" s="336">
        <v>2027</v>
      </c>
      <c r="E185" s="194">
        <f>E186+E188+1</f>
        <v>2027</v>
      </c>
      <c r="F185" s="334">
        <f t="shared" si="5"/>
        <v>127.16</v>
      </c>
      <c r="G185" s="334">
        <f t="shared" si="4"/>
        <v>99.31</v>
      </c>
    </row>
    <row r="186" spans="1:7" s="332" customFormat="1" ht="19.5" customHeight="1">
      <c r="A186" s="337" t="s">
        <v>246</v>
      </c>
      <c r="B186" s="194">
        <f>B187</f>
        <v>718</v>
      </c>
      <c r="C186" s="194">
        <f>C187</f>
        <v>950</v>
      </c>
      <c r="D186" s="336">
        <v>949</v>
      </c>
      <c r="E186" s="194">
        <f>E187</f>
        <v>949</v>
      </c>
      <c r="F186" s="334">
        <f t="shared" si="5"/>
        <v>132.17</v>
      </c>
      <c r="G186" s="334">
        <f t="shared" si="4"/>
        <v>99.89</v>
      </c>
    </row>
    <row r="187" spans="1:7" s="332" customFormat="1" ht="19.5" customHeight="1">
      <c r="A187" s="337" t="s">
        <v>247</v>
      </c>
      <c r="B187" s="197">
        <v>718</v>
      </c>
      <c r="C187" s="198">
        <v>950</v>
      </c>
      <c r="D187" s="336">
        <v>949</v>
      </c>
      <c r="E187" s="194">
        <v>949</v>
      </c>
      <c r="F187" s="334">
        <f t="shared" si="5"/>
        <v>132.17</v>
      </c>
      <c r="G187" s="334">
        <f t="shared" si="4"/>
        <v>99.89</v>
      </c>
    </row>
    <row r="188" spans="1:7" s="332" customFormat="1" ht="19.5" customHeight="1">
      <c r="A188" s="337" t="s">
        <v>248</v>
      </c>
      <c r="B188" s="194">
        <f>B189+B190</f>
        <v>876</v>
      </c>
      <c r="C188" s="194">
        <f>C189+C190</f>
        <v>1091</v>
      </c>
      <c r="D188" s="336">
        <v>1078</v>
      </c>
      <c r="E188" s="194">
        <f>E189+E190</f>
        <v>1077</v>
      </c>
      <c r="F188" s="334">
        <f t="shared" si="5"/>
        <v>122.95</v>
      </c>
      <c r="G188" s="334">
        <f t="shared" si="4"/>
        <v>98.72</v>
      </c>
    </row>
    <row r="189" spans="1:7" s="332" customFormat="1" ht="19.5" customHeight="1">
      <c r="A189" s="337" t="s">
        <v>249</v>
      </c>
      <c r="B189" s="197">
        <v>804</v>
      </c>
      <c r="C189" s="198">
        <v>1005</v>
      </c>
      <c r="D189" s="336">
        <v>993</v>
      </c>
      <c r="E189" s="194">
        <v>993</v>
      </c>
      <c r="F189" s="334">
        <f t="shared" si="5"/>
        <v>123.51</v>
      </c>
      <c r="G189" s="334">
        <f t="shared" si="4"/>
        <v>98.81</v>
      </c>
    </row>
    <row r="190" spans="1:7" s="332" customFormat="1" ht="19.5" customHeight="1">
      <c r="A190" s="337" t="s">
        <v>250</v>
      </c>
      <c r="B190" s="197">
        <v>72</v>
      </c>
      <c r="C190" s="198">
        <v>86</v>
      </c>
      <c r="D190" s="336">
        <v>84</v>
      </c>
      <c r="E190" s="194">
        <v>84</v>
      </c>
      <c r="F190" s="334">
        <f t="shared" si="5"/>
        <v>116.67</v>
      </c>
      <c r="G190" s="334">
        <f t="shared" si="4"/>
        <v>97.67</v>
      </c>
    </row>
    <row r="191" spans="1:7" s="332" customFormat="1" ht="19.5" customHeight="1">
      <c r="A191" s="337" t="s">
        <v>590</v>
      </c>
      <c r="B191" s="194">
        <f>B192</f>
        <v>329</v>
      </c>
      <c r="C191" s="194">
        <f>C192</f>
        <v>386</v>
      </c>
      <c r="D191" s="336">
        <v>390</v>
      </c>
      <c r="E191" s="194">
        <f>E192</f>
        <v>388</v>
      </c>
      <c r="F191" s="334">
        <f t="shared" si="5"/>
        <v>117.93</v>
      </c>
      <c r="G191" s="334">
        <f t="shared" si="4"/>
        <v>100.52</v>
      </c>
    </row>
    <row r="192" spans="1:7" s="332" customFormat="1" ht="19.5" customHeight="1">
      <c r="A192" s="337" t="s">
        <v>251</v>
      </c>
      <c r="B192" s="194">
        <f>B193+B194</f>
        <v>329</v>
      </c>
      <c r="C192" s="194">
        <f>C193+C194</f>
        <v>386</v>
      </c>
      <c r="D192" s="336">
        <v>390</v>
      </c>
      <c r="E192" s="194">
        <f>E193+E194</f>
        <v>388</v>
      </c>
      <c r="F192" s="334">
        <f t="shared" si="5"/>
        <v>117.93</v>
      </c>
      <c r="G192" s="334">
        <f t="shared" si="4"/>
        <v>100.52</v>
      </c>
    </row>
    <row r="193" spans="1:7" s="332" customFormat="1" ht="19.5" customHeight="1">
      <c r="A193" s="337" t="s">
        <v>252</v>
      </c>
      <c r="B193" s="197">
        <v>329</v>
      </c>
      <c r="C193" s="198">
        <v>386</v>
      </c>
      <c r="D193" s="336">
        <v>390</v>
      </c>
      <c r="E193" s="194">
        <v>388</v>
      </c>
      <c r="F193" s="334">
        <f t="shared" si="5"/>
        <v>117.93</v>
      </c>
      <c r="G193" s="334">
        <f t="shared" si="4"/>
        <v>100.52</v>
      </c>
    </row>
    <row r="194" spans="1:7" s="332" customFormat="1" ht="19.5" customHeight="1">
      <c r="A194" s="337" t="s">
        <v>253</v>
      </c>
      <c r="B194" s="194">
        <v>0</v>
      </c>
      <c r="C194" s="194">
        <v>0</v>
      </c>
      <c r="D194" s="338">
        <v>0</v>
      </c>
      <c r="E194" s="194">
        <v>0</v>
      </c>
      <c r="F194" s="334">
        <f t="shared" si="5"/>
        <v>0</v>
      </c>
      <c r="G194" s="334">
        <f t="shared" si="4"/>
        <v>0</v>
      </c>
    </row>
    <row r="195" spans="1:7" s="332" customFormat="1" ht="19.5" customHeight="1">
      <c r="A195" s="337" t="s">
        <v>591</v>
      </c>
      <c r="B195" s="194">
        <f>B196+B199+B201-1</f>
        <v>1750</v>
      </c>
      <c r="C195" s="194">
        <f>C196+C199+C201</f>
        <v>2236</v>
      </c>
      <c r="D195" s="336">
        <v>2233</v>
      </c>
      <c r="E195" s="194">
        <f>E196+E199+E201</f>
        <v>2233</v>
      </c>
      <c r="F195" s="334">
        <f t="shared" si="5"/>
        <v>127.6</v>
      </c>
      <c r="G195" s="334">
        <f t="shared" si="4"/>
        <v>99.87</v>
      </c>
    </row>
    <row r="196" spans="1:7" s="332" customFormat="1" ht="19.5" customHeight="1">
      <c r="A196" s="337" t="s">
        <v>254</v>
      </c>
      <c r="B196" s="194">
        <f>B197+B198</f>
        <v>1707</v>
      </c>
      <c r="C196" s="194">
        <f>C197+C198</f>
        <v>2180</v>
      </c>
      <c r="D196" s="336">
        <v>2176</v>
      </c>
      <c r="E196" s="194">
        <f>E197+E198</f>
        <v>2176</v>
      </c>
      <c r="F196" s="334">
        <f t="shared" si="5"/>
        <v>127.48</v>
      </c>
      <c r="G196" s="334">
        <f t="shared" si="4"/>
        <v>99.82</v>
      </c>
    </row>
    <row r="197" spans="1:7" s="332" customFormat="1" ht="19.5" customHeight="1">
      <c r="A197" s="337" t="s">
        <v>255</v>
      </c>
      <c r="B197" s="197">
        <v>963</v>
      </c>
      <c r="C197" s="198">
        <v>1269</v>
      </c>
      <c r="D197" s="336">
        <v>1265</v>
      </c>
      <c r="E197" s="194">
        <v>1265</v>
      </c>
      <c r="F197" s="334">
        <f t="shared" si="5"/>
        <v>131.36</v>
      </c>
      <c r="G197" s="334">
        <f aca="true" t="shared" si="7" ref="G197:G263">IF(E197=0,0,E197/C197*100)</f>
        <v>99.68</v>
      </c>
    </row>
    <row r="198" spans="1:7" s="332" customFormat="1" ht="19.5" customHeight="1">
      <c r="A198" s="337" t="s">
        <v>256</v>
      </c>
      <c r="B198" s="197">
        <v>744</v>
      </c>
      <c r="C198" s="198">
        <v>911</v>
      </c>
      <c r="D198" s="336">
        <v>911</v>
      </c>
      <c r="E198" s="194">
        <v>911</v>
      </c>
      <c r="F198" s="334">
        <f t="shared" si="5"/>
        <v>122.45</v>
      </c>
      <c r="G198" s="334">
        <f t="shared" si="7"/>
        <v>100</v>
      </c>
    </row>
    <row r="199" spans="1:7" s="332" customFormat="1" ht="19.5" customHeight="1">
      <c r="A199" s="337" t="s">
        <v>257</v>
      </c>
      <c r="B199" s="194">
        <f>B200</f>
        <v>44</v>
      </c>
      <c r="C199" s="194">
        <f>C200</f>
        <v>56</v>
      </c>
      <c r="D199" s="336">
        <v>57</v>
      </c>
      <c r="E199" s="194">
        <f>E200</f>
        <v>57</v>
      </c>
      <c r="F199" s="334">
        <f t="shared" si="5"/>
        <v>129.55</v>
      </c>
      <c r="G199" s="334">
        <f t="shared" si="7"/>
        <v>101.79</v>
      </c>
    </row>
    <row r="200" spans="1:7" s="332" customFormat="1" ht="19.5" customHeight="1">
      <c r="A200" s="337" t="s">
        <v>258</v>
      </c>
      <c r="B200" s="197">
        <v>44</v>
      </c>
      <c r="C200" s="198">
        <v>56</v>
      </c>
      <c r="D200" s="336">
        <v>57</v>
      </c>
      <c r="E200" s="194">
        <v>57</v>
      </c>
      <c r="F200" s="334">
        <f aca="true" t="shared" si="8" ref="F200:F266">IF(B200=0,0,E200/B200*100)</f>
        <v>129.55</v>
      </c>
      <c r="G200" s="334">
        <f t="shared" si="7"/>
        <v>101.79</v>
      </c>
    </row>
    <row r="201" spans="1:7" s="332" customFormat="1" ht="19.5" customHeight="1">
      <c r="A201" s="337" t="s">
        <v>259</v>
      </c>
      <c r="B201" s="194">
        <f>B202+B203</f>
        <v>0</v>
      </c>
      <c r="C201" s="194">
        <f>C202+C203</f>
        <v>0</v>
      </c>
      <c r="D201" s="338">
        <v>0</v>
      </c>
      <c r="E201" s="194">
        <f>E202+E203</f>
        <v>0</v>
      </c>
      <c r="F201" s="334">
        <f t="shared" si="8"/>
        <v>0</v>
      </c>
      <c r="G201" s="334">
        <f t="shared" si="7"/>
        <v>0</v>
      </c>
    </row>
    <row r="202" spans="1:7" s="332" customFormat="1" ht="19.5" customHeight="1">
      <c r="A202" s="337" t="s">
        <v>260</v>
      </c>
      <c r="B202" s="194">
        <v>0</v>
      </c>
      <c r="C202" s="194">
        <v>0</v>
      </c>
      <c r="D202" s="338">
        <v>0</v>
      </c>
      <c r="E202" s="194">
        <v>0</v>
      </c>
      <c r="F202" s="334">
        <f t="shared" si="8"/>
        <v>0</v>
      </c>
      <c r="G202" s="334">
        <f t="shared" si="7"/>
        <v>0</v>
      </c>
    </row>
    <row r="203" spans="1:7" s="332" customFormat="1" ht="19.5" customHeight="1">
      <c r="A203" s="337" t="s">
        <v>261</v>
      </c>
      <c r="B203" s="194">
        <v>0</v>
      </c>
      <c r="C203" s="194">
        <v>0</v>
      </c>
      <c r="D203" s="338">
        <v>0</v>
      </c>
      <c r="E203" s="194">
        <v>0</v>
      </c>
      <c r="F203" s="334">
        <f t="shared" si="8"/>
        <v>0</v>
      </c>
      <c r="G203" s="334">
        <f t="shared" si="7"/>
        <v>0</v>
      </c>
    </row>
    <row r="204" spans="1:7" s="332" customFormat="1" ht="19.5" customHeight="1">
      <c r="A204" s="337" t="s">
        <v>592</v>
      </c>
      <c r="B204" s="194">
        <f>B205+B207</f>
        <v>197</v>
      </c>
      <c r="C204" s="194">
        <f>C205+C207</f>
        <v>240</v>
      </c>
      <c r="D204" s="336">
        <v>240</v>
      </c>
      <c r="E204" s="194">
        <f>E205+E207</f>
        <v>240</v>
      </c>
      <c r="F204" s="334">
        <f t="shared" si="8"/>
        <v>121.83</v>
      </c>
      <c r="G204" s="334">
        <f t="shared" si="7"/>
        <v>100</v>
      </c>
    </row>
    <row r="205" spans="1:7" s="332" customFormat="1" ht="19.5" customHeight="1">
      <c r="A205" s="337" t="s">
        <v>262</v>
      </c>
      <c r="B205" s="194">
        <f>B206</f>
        <v>180</v>
      </c>
      <c r="C205" s="194">
        <f>C206</f>
        <v>236</v>
      </c>
      <c r="D205" s="336">
        <v>236</v>
      </c>
      <c r="E205" s="194">
        <f>E206</f>
        <v>236</v>
      </c>
      <c r="F205" s="334">
        <f t="shared" si="8"/>
        <v>131.11</v>
      </c>
      <c r="G205" s="334">
        <f t="shared" si="7"/>
        <v>100</v>
      </c>
    </row>
    <row r="206" spans="1:7" s="332" customFormat="1" ht="19.5" customHeight="1">
      <c r="A206" s="337" t="s">
        <v>263</v>
      </c>
      <c r="B206" s="197">
        <v>180</v>
      </c>
      <c r="C206" s="198">
        <v>236</v>
      </c>
      <c r="D206" s="336">
        <v>236</v>
      </c>
      <c r="E206" s="194">
        <v>236</v>
      </c>
      <c r="F206" s="334">
        <f t="shared" si="8"/>
        <v>131.11</v>
      </c>
      <c r="G206" s="334">
        <f t="shared" si="7"/>
        <v>100</v>
      </c>
    </row>
    <row r="207" spans="1:7" s="332" customFormat="1" ht="19.5" customHeight="1">
      <c r="A207" s="337" t="s">
        <v>264</v>
      </c>
      <c r="B207" s="194">
        <f>B208</f>
        <v>17</v>
      </c>
      <c r="C207" s="194">
        <f>C208</f>
        <v>4</v>
      </c>
      <c r="D207" s="336">
        <v>4</v>
      </c>
      <c r="E207" s="194">
        <f>E208</f>
        <v>4</v>
      </c>
      <c r="F207" s="334">
        <f t="shared" si="8"/>
        <v>23.53</v>
      </c>
      <c r="G207" s="334">
        <f t="shared" si="7"/>
        <v>100</v>
      </c>
    </row>
    <row r="208" spans="1:7" s="332" customFormat="1" ht="19.5" customHeight="1">
      <c r="A208" s="337" t="s">
        <v>265</v>
      </c>
      <c r="B208" s="197">
        <v>17</v>
      </c>
      <c r="C208" s="198">
        <v>4</v>
      </c>
      <c r="D208" s="336">
        <v>4</v>
      </c>
      <c r="E208" s="194">
        <v>4</v>
      </c>
      <c r="F208" s="334">
        <f t="shared" si="8"/>
        <v>23.53</v>
      </c>
      <c r="G208" s="334">
        <f t="shared" si="7"/>
        <v>100</v>
      </c>
    </row>
    <row r="209" spans="1:7" s="332" customFormat="1" ht="19.5" customHeight="1">
      <c r="A209" s="337" t="s">
        <v>593</v>
      </c>
      <c r="B209" s="194">
        <f>B210</f>
        <v>26597</v>
      </c>
      <c r="C209" s="194">
        <f>C210</f>
        <v>10327</v>
      </c>
      <c r="D209" s="336">
        <v>8119</v>
      </c>
      <c r="E209" s="194">
        <f>E210</f>
        <v>0</v>
      </c>
      <c r="F209" s="334">
        <f t="shared" si="8"/>
        <v>0</v>
      </c>
      <c r="G209" s="334">
        <f t="shared" si="7"/>
        <v>0</v>
      </c>
    </row>
    <row r="210" spans="1:7" s="332" customFormat="1" ht="19.5" customHeight="1">
      <c r="A210" s="337" t="s">
        <v>266</v>
      </c>
      <c r="B210" s="197">
        <v>26597</v>
      </c>
      <c r="C210" s="195">
        <v>10327</v>
      </c>
      <c r="D210" s="339">
        <v>8119</v>
      </c>
      <c r="E210" s="194">
        <v>0</v>
      </c>
      <c r="F210" s="334">
        <f t="shared" si="8"/>
        <v>0</v>
      </c>
      <c r="G210" s="334">
        <f t="shared" si="7"/>
        <v>0</v>
      </c>
    </row>
    <row r="211" spans="1:7" s="332" customFormat="1" ht="19.5" customHeight="1">
      <c r="A211" s="335" t="s">
        <v>267</v>
      </c>
      <c r="B211" s="194">
        <f>B212+B288+B314+B343+B371+B390+B454+B495+B520+B536+B569+B582+B597+B610+B613+B618+B630+B639+B643+B646+B649+B652</f>
        <v>831590</v>
      </c>
      <c r="C211" s="194">
        <f>C212+C288+C314+C343+C371+C390+C454+C495+C520+C536+C569+C582+C597+C610+C613+C618+C630+C639+C643+C646+C649+C652</f>
        <v>937867</v>
      </c>
      <c r="D211" s="343">
        <f>D212+D288+D314+D343+D371+D390+D454+D495+D520+D536+D569+D582+D597+D610+D613+D618+D630+D639+D643+D646+D649+D652</f>
        <v>1020272</v>
      </c>
      <c r="E211" s="237">
        <f>E212+E288+E314+E343+E371+E390+E454+E495+E520+E536+E569+E582+E597+E610+E613+E618+E630+E639+E643+E646+E649+E652</f>
        <v>691978</v>
      </c>
      <c r="F211" s="334">
        <f t="shared" si="8"/>
        <v>83.21</v>
      </c>
      <c r="G211" s="334">
        <f t="shared" si="7"/>
        <v>73.78</v>
      </c>
    </row>
    <row r="212" spans="1:7" s="332" customFormat="1" ht="19.5" customHeight="1">
      <c r="A212" s="337" t="s">
        <v>578</v>
      </c>
      <c r="B212" s="194">
        <f>B213+B217+B220+B226+B229+B235+B238+B241+B243+B245+B251+B253+B257+B259+B263+B266+B270+B273+B275+B278+B280+B282+B284+B286</f>
        <v>19474</v>
      </c>
      <c r="C212" s="165">
        <v>19998</v>
      </c>
      <c r="D212" s="237">
        <f>D213+D217+D220+D226+D229+D235+D238+D241+D243+D245+D251+D253+D257+D259+D263+D266+D270+D273+D275+D278+D280+D282+D284+D286</f>
        <v>20034</v>
      </c>
      <c r="E212" s="237">
        <f>E213+E217+E220+E226+E229+E235+E238+E241+E243+E245+E251+E253+E257+E259+E263+E266+E270+E273+E275+E278+E280+E282+E284+E286</f>
        <v>19110</v>
      </c>
      <c r="F212" s="334">
        <f t="shared" si="8"/>
        <v>98.13</v>
      </c>
      <c r="G212" s="334">
        <f t="shared" si="7"/>
        <v>95.56</v>
      </c>
    </row>
    <row r="213" spans="1:7" s="332" customFormat="1" ht="19.5" customHeight="1">
      <c r="A213" s="337" t="s">
        <v>22</v>
      </c>
      <c r="B213" s="194">
        <f>B214+B215+B216</f>
        <v>148</v>
      </c>
      <c r="C213" s="198">
        <v>117</v>
      </c>
      <c r="D213" s="194">
        <v>117</v>
      </c>
      <c r="E213" s="237">
        <f>E214+E215+E216</f>
        <v>109</v>
      </c>
      <c r="F213" s="334">
        <f t="shared" si="8"/>
        <v>73.65</v>
      </c>
      <c r="G213" s="334">
        <f t="shared" si="7"/>
        <v>93.16</v>
      </c>
    </row>
    <row r="214" spans="1:7" s="332" customFormat="1" ht="19.5" customHeight="1">
      <c r="A214" s="337" t="s">
        <v>268</v>
      </c>
      <c r="B214" s="165">
        <v>45</v>
      </c>
      <c r="C214" s="198">
        <v>28</v>
      </c>
      <c r="D214" s="198">
        <v>28</v>
      </c>
      <c r="E214" s="238">
        <v>23</v>
      </c>
      <c r="F214" s="334">
        <f t="shared" si="8"/>
        <v>51.11</v>
      </c>
      <c r="G214" s="334">
        <f t="shared" si="7"/>
        <v>82.14</v>
      </c>
    </row>
    <row r="215" spans="1:7" s="332" customFormat="1" ht="19.5" customHeight="1">
      <c r="A215" s="337" t="s">
        <v>269</v>
      </c>
      <c r="B215" s="165">
        <v>60</v>
      </c>
      <c r="C215" s="198">
        <v>63</v>
      </c>
      <c r="D215" s="198">
        <v>63</v>
      </c>
      <c r="E215" s="238">
        <v>63</v>
      </c>
      <c r="F215" s="334">
        <f t="shared" si="8"/>
        <v>105</v>
      </c>
      <c r="G215" s="334">
        <f t="shared" si="7"/>
        <v>100</v>
      </c>
    </row>
    <row r="216" spans="1:7" s="332" customFormat="1" ht="19.5" customHeight="1">
      <c r="A216" s="337" t="s">
        <v>270</v>
      </c>
      <c r="B216" s="165">
        <v>43</v>
      </c>
      <c r="C216" s="198">
        <v>25.42</v>
      </c>
      <c r="D216" s="198">
        <v>25</v>
      </c>
      <c r="E216" s="238">
        <v>23</v>
      </c>
      <c r="F216" s="334">
        <f t="shared" si="8"/>
        <v>53.49</v>
      </c>
      <c r="G216" s="334">
        <f t="shared" si="7"/>
        <v>90.48</v>
      </c>
    </row>
    <row r="217" spans="1:7" s="332" customFormat="1" ht="19.5" customHeight="1">
      <c r="A217" s="337" t="s">
        <v>24</v>
      </c>
      <c r="B217" s="194">
        <f>B218+B219</f>
        <v>97</v>
      </c>
      <c r="C217" s="198">
        <v>103</v>
      </c>
      <c r="D217" s="237">
        <f>D218+D219</f>
        <v>103</v>
      </c>
      <c r="E217" s="237">
        <f>E218+E219</f>
        <v>74</v>
      </c>
      <c r="F217" s="334">
        <f t="shared" si="8"/>
        <v>76.29</v>
      </c>
      <c r="G217" s="334">
        <f t="shared" si="7"/>
        <v>71.84</v>
      </c>
    </row>
    <row r="218" spans="1:7" s="332" customFormat="1" ht="19.5" customHeight="1">
      <c r="A218" s="337" t="s">
        <v>271</v>
      </c>
      <c r="B218" s="165">
        <v>63</v>
      </c>
      <c r="C218" s="198">
        <v>63</v>
      </c>
      <c r="D218" s="198">
        <v>63</v>
      </c>
      <c r="E218" s="238">
        <v>34</v>
      </c>
      <c r="F218" s="334">
        <f t="shared" si="8"/>
        <v>53.97</v>
      </c>
      <c r="G218" s="334">
        <f t="shared" si="7"/>
        <v>53.97</v>
      </c>
    </row>
    <row r="219" spans="1:7" s="332" customFormat="1" ht="19.5" customHeight="1">
      <c r="A219" s="337" t="s">
        <v>272</v>
      </c>
      <c r="B219" s="165">
        <v>34</v>
      </c>
      <c r="C219" s="198">
        <v>40</v>
      </c>
      <c r="D219" s="198">
        <v>40</v>
      </c>
      <c r="E219" s="238">
        <v>40</v>
      </c>
      <c r="F219" s="334">
        <f t="shared" si="8"/>
        <v>117.65</v>
      </c>
      <c r="G219" s="334">
        <f>IF(E219=0,0,E219/C219*100)</f>
        <v>100</v>
      </c>
    </row>
    <row r="220" spans="1:7" s="332" customFormat="1" ht="19.5" customHeight="1">
      <c r="A220" s="337" t="s">
        <v>26</v>
      </c>
      <c r="B220" s="194">
        <f>B221+B223+B224+B225+B222</f>
        <v>2995</v>
      </c>
      <c r="C220" s="198">
        <v>2921</v>
      </c>
      <c r="D220" s="237">
        <f>D221+D223+D224+D225+D222</f>
        <v>2920</v>
      </c>
      <c r="E220" s="237">
        <f>E221+E223+E224+E225+E222</f>
        <v>2573</v>
      </c>
      <c r="F220" s="334">
        <f t="shared" si="8"/>
        <v>85.91</v>
      </c>
      <c r="G220" s="334">
        <f t="shared" si="7"/>
        <v>88.09</v>
      </c>
    </row>
    <row r="221" spans="1:7" s="332" customFormat="1" ht="19.5" customHeight="1">
      <c r="A221" s="164" t="s">
        <v>970</v>
      </c>
      <c r="B221" s="165">
        <v>2493</v>
      </c>
      <c r="C221" s="198">
        <v>2391</v>
      </c>
      <c r="D221" s="198">
        <f>2391-1</f>
        <v>2390</v>
      </c>
      <c r="E221" s="238">
        <v>2157</v>
      </c>
      <c r="F221" s="334">
        <f t="shared" si="8"/>
        <v>86.52</v>
      </c>
      <c r="G221" s="334">
        <f t="shared" si="7"/>
        <v>90.21</v>
      </c>
    </row>
    <row r="222" spans="1:7" s="332" customFormat="1" ht="19.5" customHeight="1">
      <c r="A222" s="164" t="s">
        <v>971</v>
      </c>
      <c r="B222" s="165">
        <v>2</v>
      </c>
      <c r="C222" s="198">
        <v>0</v>
      </c>
      <c r="D222" s="198">
        <v>0</v>
      </c>
      <c r="E222" s="238">
        <v>0</v>
      </c>
      <c r="F222" s="334"/>
      <c r="G222" s="334"/>
    </row>
    <row r="223" spans="1:7" s="332" customFormat="1" ht="19.5" customHeight="1">
      <c r="A223" s="164" t="s">
        <v>972</v>
      </c>
      <c r="B223" s="165">
        <v>24</v>
      </c>
      <c r="C223" s="198">
        <v>17</v>
      </c>
      <c r="D223" s="198">
        <v>17</v>
      </c>
      <c r="E223" s="238">
        <v>17</v>
      </c>
      <c r="F223" s="334">
        <f t="shared" si="8"/>
        <v>70.83</v>
      </c>
      <c r="G223" s="334">
        <f t="shared" si="7"/>
        <v>100</v>
      </c>
    </row>
    <row r="224" spans="1:7" s="332" customFormat="1" ht="19.5" customHeight="1">
      <c r="A224" s="164" t="s">
        <v>973</v>
      </c>
      <c r="B224" s="165">
        <v>86</v>
      </c>
      <c r="C224" s="198">
        <v>181</v>
      </c>
      <c r="D224" s="198">
        <v>181</v>
      </c>
      <c r="E224" s="238">
        <v>67</v>
      </c>
      <c r="F224" s="334">
        <f t="shared" si="8"/>
        <v>77.91</v>
      </c>
      <c r="G224" s="334">
        <f t="shared" si="7"/>
        <v>37.02</v>
      </c>
    </row>
    <row r="225" spans="1:7" s="332" customFormat="1" ht="19.5" customHeight="1">
      <c r="A225" s="164" t="s">
        <v>974</v>
      </c>
      <c r="B225" s="165">
        <v>390</v>
      </c>
      <c r="C225" s="198">
        <v>332</v>
      </c>
      <c r="D225" s="198">
        <v>332</v>
      </c>
      <c r="E225" s="238">
        <v>332</v>
      </c>
      <c r="F225" s="334">
        <f t="shared" si="8"/>
        <v>85.13</v>
      </c>
      <c r="G225" s="334">
        <f t="shared" si="7"/>
        <v>100</v>
      </c>
    </row>
    <row r="226" spans="1:7" s="332" customFormat="1" ht="19.5" customHeight="1">
      <c r="A226" s="337" t="s">
        <v>30</v>
      </c>
      <c r="B226" s="194">
        <f>B227+B228</f>
        <v>6091</v>
      </c>
      <c r="C226" s="198">
        <v>4191</v>
      </c>
      <c r="D226" s="194">
        <v>4191</v>
      </c>
      <c r="E226" s="237">
        <f>E227+E228</f>
        <v>4191</v>
      </c>
      <c r="F226" s="334">
        <f t="shared" si="8"/>
        <v>68.81</v>
      </c>
      <c r="G226" s="334">
        <f t="shared" si="7"/>
        <v>100</v>
      </c>
    </row>
    <row r="227" spans="1:7" s="332" customFormat="1" ht="19.5" customHeight="1">
      <c r="A227" s="337" t="s">
        <v>273</v>
      </c>
      <c r="B227" s="165">
        <v>6061</v>
      </c>
      <c r="C227" s="198">
        <v>4136</v>
      </c>
      <c r="D227" s="198">
        <v>4136</v>
      </c>
      <c r="E227" s="238">
        <v>4136</v>
      </c>
      <c r="F227" s="334">
        <f t="shared" si="8"/>
        <v>68.24</v>
      </c>
      <c r="G227" s="334">
        <f t="shared" si="7"/>
        <v>100</v>
      </c>
    </row>
    <row r="228" spans="1:7" s="332" customFormat="1" ht="19.5" customHeight="1">
      <c r="A228" s="337" t="s">
        <v>274</v>
      </c>
      <c r="B228" s="165">
        <v>30</v>
      </c>
      <c r="C228" s="198">
        <v>55</v>
      </c>
      <c r="D228" s="198">
        <v>55</v>
      </c>
      <c r="E228" s="238">
        <v>55</v>
      </c>
      <c r="F228" s="334">
        <f t="shared" si="8"/>
        <v>183.33</v>
      </c>
      <c r="G228" s="334">
        <f t="shared" si="7"/>
        <v>100</v>
      </c>
    </row>
    <row r="229" spans="1:7" s="332" customFormat="1" ht="19.5" customHeight="1">
      <c r="A229" s="337" t="s">
        <v>33</v>
      </c>
      <c r="B229" s="194">
        <f>B230+B231+B232+B233+B234</f>
        <v>230</v>
      </c>
      <c r="C229" s="198">
        <v>180</v>
      </c>
      <c r="D229" s="194">
        <v>180</v>
      </c>
      <c r="E229" s="237">
        <f>E230+E231+E232+E233+E234</f>
        <v>180</v>
      </c>
      <c r="F229" s="334">
        <f t="shared" si="8"/>
        <v>78.26</v>
      </c>
      <c r="G229" s="334">
        <f t="shared" si="7"/>
        <v>100</v>
      </c>
    </row>
    <row r="230" spans="1:7" s="332" customFormat="1" ht="19.5" customHeight="1">
      <c r="A230" s="164" t="s">
        <v>1052</v>
      </c>
      <c r="B230" s="165"/>
      <c r="C230" s="198">
        <v>18</v>
      </c>
      <c r="D230" s="198">
        <v>18</v>
      </c>
      <c r="E230" s="238">
        <v>18</v>
      </c>
      <c r="F230" s="334">
        <f t="shared" si="8"/>
        <v>0</v>
      </c>
      <c r="G230" s="334">
        <f t="shared" si="7"/>
        <v>100</v>
      </c>
    </row>
    <row r="231" spans="1:7" s="332" customFormat="1" ht="19.5" customHeight="1">
      <c r="A231" s="164" t="s">
        <v>1053</v>
      </c>
      <c r="B231" s="165">
        <v>40</v>
      </c>
      <c r="C231" s="198">
        <v>40.32</v>
      </c>
      <c r="D231" s="198">
        <v>40</v>
      </c>
      <c r="E231" s="238">
        <v>40</v>
      </c>
      <c r="F231" s="334">
        <f t="shared" si="8"/>
        <v>100</v>
      </c>
      <c r="G231" s="334">
        <f t="shared" si="7"/>
        <v>99.21</v>
      </c>
    </row>
    <row r="232" spans="1:7" s="332" customFormat="1" ht="19.5" customHeight="1">
      <c r="A232" s="164" t="s">
        <v>1054</v>
      </c>
      <c r="B232" s="165">
        <v>17</v>
      </c>
      <c r="C232" s="198">
        <v>17</v>
      </c>
      <c r="D232" s="198">
        <v>17</v>
      </c>
      <c r="E232" s="238">
        <v>17</v>
      </c>
      <c r="F232" s="334">
        <f t="shared" si="8"/>
        <v>100</v>
      </c>
      <c r="G232" s="334">
        <f t="shared" si="7"/>
        <v>100</v>
      </c>
    </row>
    <row r="233" spans="1:7" s="332" customFormat="1" ht="19.5" customHeight="1">
      <c r="A233" s="164" t="s">
        <v>1055</v>
      </c>
      <c r="B233" s="165">
        <v>89</v>
      </c>
      <c r="C233" s="198">
        <v>22.89</v>
      </c>
      <c r="D233" s="198">
        <v>23</v>
      </c>
      <c r="E233" s="238">
        <v>23</v>
      </c>
      <c r="F233" s="334">
        <f t="shared" si="8"/>
        <v>25.84</v>
      </c>
      <c r="G233" s="334">
        <f t="shared" si="7"/>
        <v>100.48</v>
      </c>
    </row>
    <row r="234" spans="1:7" s="332" customFormat="1" ht="19.5" customHeight="1">
      <c r="A234" s="164" t="s">
        <v>1056</v>
      </c>
      <c r="B234" s="165">
        <v>84</v>
      </c>
      <c r="C234" s="198">
        <v>82</v>
      </c>
      <c r="D234" s="198">
        <v>82</v>
      </c>
      <c r="E234" s="238">
        <v>82</v>
      </c>
      <c r="F234" s="334">
        <f t="shared" si="8"/>
        <v>97.62</v>
      </c>
      <c r="G234" s="334">
        <f t="shared" si="7"/>
        <v>100</v>
      </c>
    </row>
    <row r="235" spans="1:7" s="332" customFormat="1" ht="19.5" customHeight="1">
      <c r="A235" s="337" t="s">
        <v>36</v>
      </c>
      <c r="B235" s="194">
        <f>B236+B237</f>
        <v>309</v>
      </c>
      <c r="C235" s="198">
        <v>309.19</v>
      </c>
      <c r="D235" s="194">
        <v>309</v>
      </c>
      <c r="E235" s="194">
        <f>E236+E237</f>
        <v>309</v>
      </c>
      <c r="F235" s="334">
        <f t="shared" si="8"/>
        <v>100</v>
      </c>
      <c r="G235" s="334">
        <f t="shared" si="7"/>
        <v>99.94</v>
      </c>
    </row>
    <row r="236" spans="1:7" s="332" customFormat="1" ht="19.5" customHeight="1">
      <c r="A236" s="337" t="s">
        <v>275</v>
      </c>
      <c r="B236" s="165">
        <v>309</v>
      </c>
      <c r="C236" s="198">
        <v>309.19</v>
      </c>
      <c r="D236" s="226">
        <v>309</v>
      </c>
      <c r="E236" s="191">
        <v>309</v>
      </c>
      <c r="F236" s="334">
        <f t="shared" si="8"/>
        <v>100</v>
      </c>
      <c r="G236" s="334">
        <f t="shared" si="7"/>
        <v>99.94</v>
      </c>
    </row>
    <row r="237" spans="1:7" s="332" customFormat="1" ht="19.5" customHeight="1">
      <c r="A237" s="337" t="s">
        <v>276</v>
      </c>
      <c r="B237" s="194">
        <v>0</v>
      </c>
      <c r="C237" s="198"/>
      <c r="D237" s="194"/>
      <c r="E237" s="194">
        <v>0</v>
      </c>
      <c r="F237" s="334">
        <f t="shared" si="8"/>
        <v>0</v>
      </c>
      <c r="G237" s="334">
        <f t="shared" si="7"/>
        <v>0</v>
      </c>
    </row>
    <row r="238" spans="1:7" s="332" customFormat="1" ht="19.5" customHeight="1">
      <c r="A238" s="337" t="s">
        <v>102</v>
      </c>
      <c r="B238" s="194">
        <f>B240</f>
        <v>1360</v>
      </c>
      <c r="C238" s="198">
        <v>1660</v>
      </c>
      <c r="D238" s="194">
        <v>1660</v>
      </c>
      <c r="E238" s="194">
        <f>E240</f>
        <v>1660</v>
      </c>
      <c r="F238" s="334">
        <f t="shared" si="8"/>
        <v>122.06</v>
      </c>
      <c r="G238" s="334">
        <f t="shared" si="7"/>
        <v>100</v>
      </c>
    </row>
    <row r="239" spans="1:7" s="332" customFormat="1" ht="19.5" customHeight="1">
      <c r="A239" s="337" t="s">
        <v>103</v>
      </c>
      <c r="B239" s="194">
        <v>0</v>
      </c>
      <c r="C239" s="198">
        <v>1660</v>
      </c>
      <c r="D239" s="194"/>
      <c r="E239" s="194">
        <v>0</v>
      </c>
      <c r="F239" s="334">
        <f t="shared" si="8"/>
        <v>0</v>
      </c>
      <c r="G239" s="334">
        <f t="shared" si="7"/>
        <v>0</v>
      </c>
    </row>
    <row r="240" spans="1:7" s="332" customFormat="1" ht="19.5" customHeight="1">
      <c r="A240" s="337" t="s">
        <v>277</v>
      </c>
      <c r="B240" s="165">
        <v>1360</v>
      </c>
      <c r="C240" s="198"/>
      <c r="D240" s="226">
        <v>1660</v>
      </c>
      <c r="E240" s="191">
        <v>1660</v>
      </c>
      <c r="F240" s="334">
        <f t="shared" si="8"/>
        <v>122.06</v>
      </c>
      <c r="G240" s="334" t="e">
        <f t="shared" si="7"/>
        <v>#DIV/0!</v>
      </c>
    </row>
    <row r="241" spans="1:7" s="332" customFormat="1" ht="19.5" customHeight="1">
      <c r="A241" s="337" t="s">
        <v>104</v>
      </c>
      <c r="B241" s="194">
        <f>B242</f>
        <v>50</v>
      </c>
      <c r="C241" s="198">
        <v>34.6</v>
      </c>
      <c r="D241" s="194">
        <v>35</v>
      </c>
      <c r="E241" s="194">
        <f>E242</f>
        <v>35</v>
      </c>
      <c r="F241" s="334">
        <f t="shared" si="8"/>
        <v>70</v>
      </c>
      <c r="G241" s="334">
        <f t="shared" si="7"/>
        <v>101.16</v>
      </c>
    </row>
    <row r="242" spans="1:7" s="332" customFormat="1" ht="19.5" customHeight="1">
      <c r="A242" s="337" t="s">
        <v>278</v>
      </c>
      <c r="B242" s="165">
        <v>50</v>
      </c>
      <c r="C242" s="198">
        <v>34.6</v>
      </c>
      <c r="D242" s="226">
        <v>35</v>
      </c>
      <c r="E242" s="191">
        <v>35</v>
      </c>
      <c r="F242" s="334">
        <f t="shared" si="8"/>
        <v>70</v>
      </c>
      <c r="G242" s="334">
        <f t="shared" si="7"/>
        <v>101.16</v>
      </c>
    </row>
    <row r="243" spans="1:7" s="332" customFormat="1" ht="19.5" customHeight="1">
      <c r="A243" s="337" t="s">
        <v>279</v>
      </c>
      <c r="B243" s="194">
        <f>B244</f>
        <v>157</v>
      </c>
      <c r="C243" s="344">
        <v>100</v>
      </c>
      <c r="D243" s="194">
        <v>100</v>
      </c>
      <c r="E243" s="194">
        <f>E244</f>
        <v>100</v>
      </c>
      <c r="F243" s="334">
        <f t="shared" si="8"/>
        <v>63.69</v>
      </c>
      <c r="G243" s="334">
        <f t="shared" si="7"/>
        <v>100</v>
      </c>
    </row>
    <row r="244" spans="1:7" s="332" customFormat="1" ht="19.5" customHeight="1">
      <c r="A244" s="337" t="s">
        <v>280</v>
      </c>
      <c r="B244" s="165">
        <v>157</v>
      </c>
      <c r="C244" s="166">
        <v>100</v>
      </c>
      <c r="D244" s="166">
        <v>100</v>
      </c>
      <c r="E244" s="191">
        <v>100</v>
      </c>
      <c r="F244" s="334">
        <f t="shared" si="8"/>
        <v>63.69</v>
      </c>
      <c r="G244" s="334">
        <f t="shared" si="7"/>
        <v>100</v>
      </c>
    </row>
    <row r="245" spans="1:7" s="332" customFormat="1" ht="19.5" customHeight="1">
      <c r="A245" s="337" t="s">
        <v>107</v>
      </c>
      <c r="B245" s="194">
        <f>B246+B247+B248+B249+B250-1</f>
        <v>222</v>
      </c>
      <c r="C245" s="165">
        <v>210</v>
      </c>
      <c r="D245" s="194">
        <v>246</v>
      </c>
      <c r="E245" s="194">
        <f>E246+E247+E248+E249+E250</f>
        <v>164</v>
      </c>
      <c r="F245" s="334">
        <f t="shared" si="8"/>
        <v>73.87</v>
      </c>
      <c r="G245" s="334">
        <f t="shared" si="7"/>
        <v>78.1</v>
      </c>
    </row>
    <row r="246" spans="1:7" s="332" customFormat="1" ht="19.5" customHeight="1">
      <c r="A246" s="337" t="s">
        <v>281</v>
      </c>
      <c r="B246" s="165">
        <v>149</v>
      </c>
      <c r="C246" s="166">
        <v>85</v>
      </c>
      <c r="D246" s="166">
        <v>85</v>
      </c>
      <c r="E246" s="191">
        <v>85</v>
      </c>
      <c r="F246" s="334">
        <f t="shared" si="8"/>
        <v>57.05</v>
      </c>
      <c r="G246" s="334">
        <f t="shared" si="7"/>
        <v>100</v>
      </c>
    </row>
    <row r="247" spans="1:7" s="332" customFormat="1" ht="19.5" customHeight="1">
      <c r="A247" s="337" t="s">
        <v>282</v>
      </c>
      <c r="B247" s="165"/>
      <c r="C247" s="166">
        <v>56.8</v>
      </c>
      <c r="D247" s="166">
        <v>93</v>
      </c>
      <c r="E247" s="191">
        <v>11</v>
      </c>
      <c r="F247" s="334">
        <f t="shared" si="8"/>
        <v>0</v>
      </c>
      <c r="G247" s="334">
        <f t="shared" si="7"/>
        <v>19.37</v>
      </c>
    </row>
    <row r="248" spans="1:7" s="332" customFormat="1" ht="19.5" customHeight="1">
      <c r="A248" s="337" t="s">
        <v>283</v>
      </c>
      <c r="B248" s="165">
        <v>54</v>
      </c>
      <c r="C248" s="166">
        <v>48</v>
      </c>
      <c r="D248" s="166">
        <v>48</v>
      </c>
      <c r="E248" s="191">
        <v>48</v>
      </c>
      <c r="F248" s="334">
        <f t="shared" si="8"/>
        <v>88.89</v>
      </c>
      <c r="G248" s="334">
        <f t="shared" si="7"/>
        <v>100</v>
      </c>
    </row>
    <row r="249" spans="1:7" s="332" customFormat="1" ht="19.5" customHeight="1">
      <c r="A249" s="337" t="s">
        <v>284</v>
      </c>
      <c r="B249" s="165">
        <v>20</v>
      </c>
      <c r="C249" s="166">
        <v>20</v>
      </c>
      <c r="D249" s="166">
        <v>20</v>
      </c>
      <c r="E249" s="191">
        <v>20</v>
      </c>
      <c r="F249" s="334">
        <f t="shared" si="8"/>
        <v>100</v>
      </c>
      <c r="G249" s="334">
        <f t="shared" si="7"/>
        <v>100</v>
      </c>
    </row>
    <row r="250" spans="1:7" s="332" customFormat="1" ht="19.5" customHeight="1">
      <c r="A250" s="337" t="s">
        <v>285</v>
      </c>
      <c r="B250" s="194">
        <v>0</v>
      </c>
      <c r="C250" s="166"/>
      <c r="D250" s="200">
        <v>0</v>
      </c>
      <c r="E250" s="191">
        <v>0</v>
      </c>
      <c r="F250" s="334">
        <f t="shared" si="8"/>
        <v>0</v>
      </c>
      <c r="G250" s="334">
        <f t="shared" si="7"/>
        <v>0</v>
      </c>
    </row>
    <row r="251" spans="1:7" s="332" customFormat="1" ht="19.5" customHeight="1">
      <c r="A251" s="337" t="s">
        <v>110</v>
      </c>
      <c r="B251" s="194">
        <f>B252</f>
        <v>306</v>
      </c>
      <c r="C251" s="166">
        <v>708</v>
      </c>
      <c r="D251" s="194">
        <v>708</v>
      </c>
      <c r="E251" s="194">
        <f>E252</f>
        <v>665</v>
      </c>
      <c r="F251" s="334">
        <f t="shared" si="8"/>
        <v>217.32</v>
      </c>
      <c r="G251" s="334">
        <f t="shared" si="7"/>
        <v>93.93</v>
      </c>
    </row>
    <row r="252" spans="1:7" s="332" customFormat="1" ht="19.5" customHeight="1">
      <c r="A252" s="337" t="s">
        <v>286</v>
      </c>
      <c r="B252" s="165">
        <v>306</v>
      </c>
      <c r="C252" s="166">
        <v>708</v>
      </c>
      <c r="D252" s="166">
        <v>708</v>
      </c>
      <c r="E252" s="191">
        <v>665</v>
      </c>
      <c r="F252" s="334">
        <f t="shared" si="8"/>
        <v>217.32</v>
      </c>
      <c r="G252" s="334">
        <f t="shared" si="7"/>
        <v>93.93</v>
      </c>
    </row>
    <row r="253" spans="1:7" s="332" customFormat="1" ht="19.5" customHeight="1">
      <c r="A253" s="337" t="s">
        <v>112</v>
      </c>
      <c r="B253" s="194">
        <f>B255+B254+B256</f>
        <v>490</v>
      </c>
      <c r="C253" s="166">
        <v>686</v>
      </c>
      <c r="D253" s="194">
        <v>686</v>
      </c>
      <c r="E253" s="194">
        <f>E255+E254+E256</f>
        <v>636</v>
      </c>
      <c r="F253" s="334">
        <f t="shared" si="8"/>
        <v>129.8</v>
      </c>
      <c r="G253" s="334">
        <f t="shared" si="7"/>
        <v>92.71</v>
      </c>
    </row>
    <row r="254" spans="1:7" s="332" customFormat="1" ht="19.5" customHeight="1">
      <c r="A254" s="164" t="s">
        <v>975</v>
      </c>
      <c r="B254" s="165"/>
      <c r="C254" s="166">
        <v>200</v>
      </c>
      <c r="D254" s="166">
        <v>200</v>
      </c>
      <c r="E254" s="191">
        <v>200</v>
      </c>
      <c r="F254" s="334"/>
      <c r="G254" s="334"/>
    </row>
    <row r="255" spans="1:7" s="332" customFormat="1" ht="19.5" customHeight="1">
      <c r="A255" s="164" t="s">
        <v>976</v>
      </c>
      <c r="B255" s="165">
        <v>330</v>
      </c>
      <c r="C255" s="166">
        <v>327</v>
      </c>
      <c r="D255" s="166">
        <v>327</v>
      </c>
      <c r="E255" s="191">
        <v>287</v>
      </c>
      <c r="F255" s="334">
        <f t="shared" si="8"/>
        <v>86.97</v>
      </c>
      <c r="G255" s="334">
        <f t="shared" si="7"/>
        <v>87.77</v>
      </c>
    </row>
    <row r="256" spans="1:7" s="332" customFormat="1" ht="19.5" customHeight="1">
      <c r="A256" s="164" t="s">
        <v>977</v>
      </c>
      <c r="B256" s="165">
        <v>160</v>
      </c>
      <c r="C256" s="166">
        <v>158.5</v>
      </c>
      <c r="D256" s="166">
        <v>159</v>
      </c>
      <c r="E256" s="191">
        <v>149</v>
      </c>
      <c r="F256" s="334"/>
      <c r="G256" s="334"/>
    </row>
    <row r="257" spans="1:7" s="332" customFormat="1" ht="19.5" customHeight="1">
      <c r="A257" s="337" t="s">
        <v>287</v>
      </c>
      <c r="B257" s="194">
        <f>B258</f>
        <v>0</v>
      </c>
      <c r="C257" s="166">
        <v>126</v>
      </c>
      <c r="D257" s="194">
        <v>126</v>
      </c>
      <c r="E257" s="194">
        <f>E258</f>
        <v>126</v>
      </c>
      <c r="F257" s="334">
        <f t="shared" si="8"/>
        <v>0</v>
      </c>
      <c r="G257" s="334">
        <f t="shared" si="7"/>
        <v>100</v>
      </c>
    </row>
    <row r="258" spans="1:7" s="332" customFormat="1" ht="19.5" customHeight="1">
      <c r="A258" s="337" t="s">
        <v>288</v>
      </c>
      <c r="B258" s="165"/>
      <c r="C258" s="166">
        <v>126</v>
      </c>
      <c r="D258" s="166">
        <v>126</v>
      </c>
      <c r="E258" s="191">
        <v>126</v>
      </c>
      <c r="F258" s="334">
        <f t="shared" si="8"/>
        <v>0</v>
      </c>
      <c r="G258" s="334">
        <f t="shared" si="7"/>
        <v>100</v>
      </c>
    </row>
    <row r="259" spans="1:7" s="332" customFormat="1" ht="19.5" customHeight="1">
      <c r="A259" s="337" t="s">
        <v>289</v>
      </c>
      <c r="B259" s="194">
        <f>B260+B261+B262</f>
        <v>319</v>
      </c>
      <c r="C259" s="166">
        <v>303</v>
      </c>
      <c r="D259" s="194">
        <v>303</v>
      </c>
      <c r="E259" s="194">
        <f>E260+E261+E262</f>
        <v>216</v>
      </c>
      <c r="F259" s="334">
        <f t="shared" si="8"/>
        <v>67.71</v>
      </c>
      <c r="G259" s="334">
        <f t="shared" si="7"/>
        <v>71.29</v>
      </c>
    </row>
    <row r="260" spans="1:7" s="332" customFormat="1" ht="19.5" customHeight="1">
      <c r="A260" s="337" t="s">
        <v>290</v>
      </c>
      <c r="B260" s="165">
        <v>294</v>
      </c>
      <c r="C260" s="166">
        <v>278</v>
      </c>
      <c r="D260" s="166">
        <v>278</v>
      </c>
      <c r="E260" s="191">
        <v>216</v>
      </c>
      <c r="F260" s="334">
        <f t="shared" si="8"/>
        <v>73.47</v>
      </c>
      <c r="G260" s="334">
        <f t="shared" si="7"/>
        <v>77.7</v>
      </c>
    </row>
    <row r="261" spans="1:7" s="332" customFormat="1" ht="19.5" customHeight="1">
      <c r="A261" s="337" t="s">
        <v>291</v>
      </c>
      <c r="B261" s="165">
        <v>25</v>
      </c>
      <c r="C261" s="166">
        <v>25</v>
      </c>
      <c r="D261" s="226">
        <v>25</v>
      </c>
      <c r="E261" s="194">
        <v>0</v>
      </c>
      <c r="F261" s="334">
        <f t="shared" si="8"/>
        <v>0</v>
      </c>
      <c r="G261" s="334">
        <f t="shared" si="7"/>
        <v>0</v>
      </c>
    </row>
    <row r="262" spans="1:7" s="332" customFormat="1" ht="19.5" customHeight="1">
      <c r="A262" s="337" t="s">
        <v>292</v>
      </c>
      <c r="B262" s="194">
        <v>0</v>
      </c>
      <c r="C262" s="166"/>
      <c r="D262" s="194"/>
      <c r="E262" s="194">
        <v>0</v>
      </c>
      <c r="F262" s="334">
        <f t="shared" si="8"/>
        <v>0</v>
      </c>
      <c r="G262" s="334">
        <f t="shared" si="7"/>
        <v>0</v>
      </c>
    </row>
    <row r="263" spans="1:7" s="332" customFormat="1" ht="19.5" customHeight="1">
      <c r="A263" s="337" t="s">
        <v>293</v>
      </c>
      <c r="B263" s="194">
        <f>B265+B264</f>
        <v>10</v>
      </c>
      <c r="C263" s="166">
        <v>54.68</v>
      </c>
      <c r="D263" s="194">
        <v>55</v>
      </c>
      <c r="E263" s="194">
        <f>E265+E264</f>
        <v>55</v>
      </c>
      <c r="F263" s="334">
        <f t="shared" si="8"/>
        <v>550</v>
      </c>
      <c r="G263" s="334">
        <f t="shared" si="7"/>
        <v>100.59</v>
      </c>
    </row>
    <row r="264" spans="1:7" s="332" customFormat="1" ht="19.5" customHeight="1">
      <c r="A264" s="337" t="s">
        <v>294</v>
      </c>
      <c r="B264" s="165"/>
      <c r="C264" s="166">
        <v>54.68</v>
      </c>
      <c r="D264" s="166">
        <v>55</v>
      </c>
      <c r="E264" s="191">
        <v>55</v>
      </c>
      <c r="F264" s="334">
        <f t="shared" si="8"/>
        <v>0</v>
      </c>
      <c r="G264" s="334">
        <f aca="true" t="shared" si="9" ref="G264:G331">IF(E264=0,0,E264/C264*100)</f>
        <v>100.59</v>
      </c>
    </row>
    <row r="265" spans="1:7" s="332" customFormat="1" ht="19.5" customHeight="1">
      <c r="A265" s="337" t="s">
        <v>295</v>
      </c>
      <c r="B265" s="165">
        <v>10</v>
      </c>
      <c r="C265" s="166">
        <v>0</v>
      </c>
      <c r="D265" s="226">
        <v>0</v>
      </c>
      <c r="E265" s="194">
        <v>0</v>
      </c>
      <c r="F265" s="334">
        <f t="shared" si="8"/>
        <v>0</v>
      </c>
      <c r="G265" s="334">
        <f t="shared" si="9"/>
        <v>0</v>
      </c>
    </row>
    <row r="266" spans="1:7" s="332" customFormat="1" ht="19.5" customHeight="1">
      <c r="A266" s="337" t="s">
        <v>296</v>
      </c>
      <c r="B266" s="194">
        <f>B267</f>
        <v>50</v>
      </c>
      <c r="C266" s="166">
        <v>108</v>
      </c>
      <c r="D266" s="194">
        <v>108</v>
      </c>
      <c r="E266" s="194">
        <f>E267</f>
        <v>108</v>
      </c>
      <c r="F266" s="334">
        <f t="shared" si="8"/>
        <v>216</v>
      </c>
      <c r="G266" s="334">
        <f t="shared" si="9"/>
        <v>100</v>
      </c>
    </row>
    <row r="267" spans="1:7" s="332" customFormat="1" ht="19.5" customHeight="1">
      <c r="A267" s="337" t="s">
        <v>297</v>
      </c>
      <c r="B267" s="165">
        <v>50</v>
      </c>
      <c r="C267" s="166">
        <v>108</v>
      </c>
      <c r="D267" s="166">
        <v>108</v>
      </c>
      <c r="E267" s="191">
        <v>108</v>
      </c>
      <c r="F267" s="334">
        <f aca="true" t="shared" si="10" ref="F267:F334">IF(B267=0,0,E267/B267*100)</f>
        <v>216</v>
      </c>
      <c r="G267" s="334">
        <f t="shared" si="9"/>
        <v>100</v>
      </c>
    </row>
    <row r="268" spans="1:7" s="332" customFormat="1" ht="19.5" customHeight="1">
      <c r="A268" s="337" t="s">
        <v>298</v>
      </c>
      <c r="B268" s="194">
        <v>0</v>
      </c>
      <c r="C268" s="166"/>
      <c r="D268" s="194"/>
      <c r="E268" s="194">
        <v>0</v>
      </c>
      <c r="F268" s="334">
        <f t="shared" si="10"/>
        <v>0</v>
      </c>
      <c r="G268" s="334">
        <f t="shared" si="9"/>
        <v>0</v>
      </c>
    </row>
    <row r="269" spans="1:7" s="332" customFormat="1" ht="19.5" customHeight="1">
      <c r="A269" s="337" t="s">
        <v>299</v>
      </c>
      <c r="B269" s="194">
        <v>0</v>
      </c>
      <c r="C269" s="166"/>
      <c r="D269" s="194"/>
      <c r="E269" s="194">
        <v>0</v>
      </c>
      <c r="F269" s="334">
        <f t="shared" si="10"/>
        <v>0</v>
      </c>
      <c r="G269" s="334">
        <f t="shared" si="9"/>
        <v>0</v>
      </c>
    </row>
    <row r="270" spans="1:7" s="332" customFormat="1" ht="19.5" customHeight="1">
      <c r="A270" s="337" t="s">
        <v>115</v>
      </c>
      <c r="B270" s="194">
        <f>B271</f>
        <v>93</v>
      </c>
      <c r="C270" s="166">
        <v>91.88</v>
      </c>
      <c r="D270" s="194">
        <v>92</v>
      </c>
      <c r="E270" s="194">
        <f>E271</f>
        <v>92</v>
      </c>
      <c r="F270" s="334">
        <f t="shared" si="10"/>
        <v>98.92</v>
      </c>
      <c r="G270" s="334">
        <f t="shared" si="9"/>
        <v>100.13</v>
      </c>
    </row>
    <row r="271" spans="1:7" s="332" customFormat="1" ht="19.5" customHeight="1">
      <c r="A271" s="337" t="s">
        <v>117</v>
      </c>
      <c r="B271" s="165">
        <v>93</v>
      </c>
      <c r="C271" s="166">
        <v>91.88</v>
      </c>
      <c r="D271" s="166">
        <v>92</v>
      </c>
      <c r="E271" s="191">
        <v>92</v>
      </c>
      <c r="F271" s="334">
        <f t="shared" si="10"/>
        <v>98.92</v>
      </c>
      <c r="G271" s="334">
        <f t="shared" si="9"/>
        <v>100.13</v>
      </c>
    </row>
    <row r="272" spans="1:7" s="332" customFormat="1" ht="19.5" customHeight="1">
      <c r="A272" s="337" t="s">
        <v>300</v>
      </c>
      <c r="B272" s="194">
        <v>0</v>
      </c>
      <c r="C272" s="166"/>
      <c r="D272" s="194"/>
      <c r="E272" s="194">
        <v>0</v>
      </c>
      <c r="F272" s="334">
        <f t="shared" si="10"/>
        <v>0</v>
      </c>
      <c r="G272" s="334">
        <f t="shared" si="9"/>
        <v>0</v>
      </c>
    </row>
    <row r="273" spans="1:7" s="332" customFormat="1" ht="19.5" customHeight="1">
      <c r="A273" s="337" t="s">
        <v>118</v>
      </c>
      <c r="B273" s="194">
        <f>B274</f>
        <v>0</v>
      </c>
      <c r="C273" s="166"/>
      <c r="D273" s="194"/>
      <c r="E273" s="194">
        <f>E274</f>
        <v>0</v>
      </c>
      <c r="F273" s="334">
        <f t="shared" si="10"/>
        <v>0</v>
      </c>
      <c r="G273" s="334">
        <f t="shared" si="9"/>
        <v>0</v>
      </c>
    </row>
    <row r="274" spans="1:7" s="332" customFormat="1" ht="19.5" customHeight="1">
      <c r="A274" s="337" t="s">
        <v>301</v>
      </c>
      <c r="B274" s="194">
        <v>0</v>
      </c>
      <c r="C274" s="166"/>
      <c r="D274" s="194"/>
      <c r="E274" s="194">
        <v>0</v>
      </c>
      <c r="F274" s="334">
        <f t="shared" si="10"/>
        <v>0</v>
      </c>
      <c r="G274" s="334">
        <f t="shared" si="9"/>
        <v>0</v>
      </c>
    </row>
    <row r="275" spans="1:7" s="332" customFormat="1" ht="19.5" customHeight="1">
      <c r="A275" s="342" t="s">
        <v>1070</v>
      </c>
      <c r="B275" s="194">
        <f>B276+B277</f>
        <v>122</v>
      </c>
      <c r="C275" s="166">
        <v>232</v>
      </c>
      <c r="D275" s="194">
        <v>232</v>
      </c>
      <c r="E275" s="194">
        <f>E276+E277</f>
        <v>232</v>
      </c>
      <c r="F275" s="334">
        <f t="shared" si="10"/>
        <v>190.16</v>
      </c>
      <c r="G275" s="334">
        <f t="shared" si="9"/>
        <v>100</v>
      </c>
    </row>
    <row r="276" spans="1:7" s="332" customFormat="1" ht="19.5" customHeight="1">
      <c r="A276" s="342" t="s">
        <v>1071</v>
      </c>
      <c r="B276" s="165">
        <v>96</v>
      </c>
      <c r="C276" s="166">
        <v>104</v>
      </c>
      <c r="D276" s="166">
        <v>104</v>
      </c>
      <c r="E276" s="191">
        <v>104</v>
      </c>
      <c r="F276" s="334">
        <f t="shared" si="10"/>
        <v>108.33</v>
      </c>
      <c r="G276" s="334">
        <f t="shared" si="9"/>
        <v>100</v>
      </c>
    </row>
    <row r="277" spans="1:7" s="332" customFormat="1" ht="19.5" customHeight="1">
      <c r="A277" s="337" t="s">
        <v>302</v>
      </c>
      <c r="B277" s="165">
        <v>26</v>
      </c>
      <c r="C277" s="166">
        <v>128</v>
      </c>
      <c r="D277" s="166">
        <v>128</v>
      </c>
      <c r="E277" s="191">
        <v>128</v>
      </c>
      <c r="F277" s="334">
        <f t="shared" si="10"/>
        <v>492.31</v>
      </c>
      <c r="G277" s="334">
        <f t="shared" si="9"/>
        <v>100</v>
      </c>
    </row>
    <row r="278" spans="1:7" s="332" customFormat="1" ht="19.5" customHeight="1">
      <c r="A278" s="337" t="s">
        <v>123</v>
      </c>
      <c r="B278" s="194">
        <f>B279</f>
        <v>1240</v>
      </c>
      <c r="C278" s="166">
        <v>2498</v>
      </c>
      <c r="D278" s="194">
        <v>2498</v>
      </c>
      <c r="E278" s="194">
        <f>E279</f>
        <v>2492</v>
      </c>
      <c r="F278" s="334">
        <f t="shared" si="10"/>
        <v>200.97</v>
      </c>
      <c r="G278" s="334">
        <f t="shared" si="9"/>
        <v>99.76</v>
      </c>
    </row>
    <row r="279" spans="1:7" s="332" customFormat="1" ht="19.5" customHeight="1">
      <c r="A279" s="337" t="s">
        <v>303</v>
      </c>
      <c r="B279" s="165">
        <v>1240</v>
      </c>
      <c r="C279" s="166">
        <v>2498</v>
      </c>
      <c r="D279" s="166">
        <v>2498</v>
      </c>
      <c r="E279" s="191">
        <v>2492</v>
      </c>
      <c r="F279" s="334">
        <f t="shared" si="10"/>
        <v>200.97</v>
      </c>
      <c r="G279" s="334">
        <f t="shared" si="9"/>
        <v>99.76</v>
      </c>
    </row>
    <row r="280" spans="1:7" s="332" customFormat="1" ht="19.5" customHeight="1">
      <c r="A280" s="337" t="s">
        <v>126</v>
      </c>
      <c r="B280" s="194">
        <f>B281</f>
        <v>4362</v>
      </c>
      <c r="C280" s="166">
        <v>3923</v>
      </c>
      <c r="D280" s="194">
        <v>3923</v>
      </c>
      <c r="E280" s="194">
        <f>E281</f>
        <v>3718</v>
      </c>
      <c r="F280" s="334">
        <f t="shared" si="10"/>
        <v>85.24</v>
      </c>
      <c r="G280" s="334">
        <f t="shared" si="9"/>
        <v>94.77</v>
      </c>
    </row>
    <row r="281" spans="1:7" s="332" customFormat="1" ht="19.5" customHeight="1">
      <c r="A281" s="337" t="s">
        <v>304</v>
      </c>
      <c r="B281" s="165">
        <v>4362</v>
      </c>
      <c r="C281" s="166">
        <v>3923</v>
      </c>
      <c r="D281" s="166">
        <v>3923</v>
      </c>
      <c r="E281" s="191">
        <v>3718</v>
      </c>
      <c r="F281" s="334">
        <f t="shared" si="10"/>
        <v>85.24</v>
      </c>
      <c r="G281" s="334">
        <f t="shared" si="9"/>
        <v>94.77</v>
      </c>
    </row>
    <row r="282" spans="1:7" s="332" customFormat="1" ht="19.5" customHeight="1">
      <c r="A282" s="337" t="s">
        <v>128</v>
      </c>
      <c r="B282" s="194">
        <f>B283</f>
        <v>751</v>
      </c>
      <c r="C282" s="166">
        <v>1370</v>
      </c>
      <c r="D282" s="194">
        <v>1370</v>
      </c>
      <c r="E282" s="194">
        <f>E283</f>
        <v>1304</v>
      </c>
      <c r="F282" s="334">
        <f t="shared" si="10"/>
        <v>173.64</v>
      </c>
      <c r="G282" s="334">
        <f t="shared" si="9"/>
        <v>95.18</v>
      </c>
    </row>
    <row r="283" spans="1:7" s="332" customFormat="1" ht="19.5" customHeight="1">
      <c r="A283" s="337" t="s">
        <v>305</v>
      </c>
      <c r="B283" s="165">
        <v>751</v>
      </c>
      <c r="C283" s="166">
        <v>1370</v>
      </c>
      <c r="D283" s="166">
        <v>1370</v>
      </c>
      <c r="E283" s="191">
        <v>1304</v>
      </c>
      <c r="F283" s="334">
        <f t="shared" si="10"/>
        <v>173.64</v>
      </c>
      <c r="G283" s="334">
        <f t="shared" si="9"/>
        <v>95.18</v>
      </c>
    </row>
    <row r="284" spans="1:7" s="332" customFormat="1" ht="19.5" customHeight="1">
      <c r="A284" s="337" t="s">
        <v>130</v>
      </c>
      <c r="B284" s="194">
        <f>B285</f>
        <v>72</v>
      </c>
      <c r="C284" s="166">
        <v>72.47</v>
      </c>
      <c r="D284" s="194">
        <v>72</v>
      </c>
      <c r="E284" s="194">
        <f>E285</f>
        <v>71</v>
      </c>
      <c r="F284" s="334">
        <f t="shared" si="10"/>
        <v>98.61</v>
      </c>
      <c r="G284" s="334">
        <f t="shared" si="9"/>
        <v>97.97</v>
      </c>
    </row>
    <row r="285" spans="1:7" s="332" customFormat="1" ht="19.5" customHeight="1">
      <c r="A285" s="337" t="s">
        <v>306</v>
      </c>
      <c r="B285" s="165">
        <v>72</v>
      </c>
      <c r="C285" s="166">
        <v>72.47</v>
      </c>
      <c r="D285" s="166">
        <v>72</v>
      </c>
      <c r="E285" s="191">
        <v>71</v>
      </c>
      <c r="F285" s="334">
        <f t="shared" si="10"/>
        <v>98.61</v>
      </c>
      <c r="G285" s="334">
        <f t="shared" si="9"/>
        <v>97.97</v>
      </c>
    </row>
    <row r="286" spans="1:7" s="332" customFormat="1" ht="19.5" customHeight="1">
      <c r="A286" s="337" t="s">
        <v>307</v>
      </c>
      <c r="B286" s="194">
        <f>B287</f>
        <v>0</v>
      </c>
      <c r="C286" s="226"/>
      <c r="D286" s="194">
        <v>0</v>
      </c>
      <c r="E286" s="194">
        <f>E287</f>
        <v>0</v>
      </c>
      <c r="F286" s="334">
        <f t="shared" si="10"/>
        <v>0</v>
      </c>
      <c r="G286" s="334">
        <f t="shared" si="9"/>
        <v>0</v>
      </c>
    </row>
    <row r="287" spans="1:7" s="332" customFormat="1" ht="19.5" customHeight="1">
      <c r="A287" s="337" t="s">
        <v>308</v>
      </c>
      <c r="B287" s="194">
        <v>0</v>
      </c>
      <c r="C287" s="226"/>
      <c r="D287" s="194">
        <v>0</v>
      </c>
      <c r="E287" s="194">
        <v>0</v>
      </c>
      <c r="F287" s="334">
        <f t="shared" si="10"/>
        <v>0</v>
      </c>
      <c r="G287" s="334">
        <f t="shared" si="9"/>
        <v>0</v>
      </c>
    </row>
    <row r="288" spans="1:7" s="332" customFormat="1" ht="19.5" customHeight="1">
      <c r="A288" s="337" t="s">
        <v>579</v>
      </c>
      <c r="B288" s="194">
        <f>B289+B291+B301+B303+B305+B310</f>
        <v>14489</v>
      </c>
      <c r="C288" s="165">
        <v>14998</v>
      </c>
      <c r="D288" s="194">
        <v>14998</v>
      </c>
      <c r="E288" s="194">
        <f>E289+E291+E301+E303+E305+E310</f>
        <v>12785</v>
      </c>
      <c r="F288" s="334">
        <f t="shared" si="10"/>
        <v>88.24</v>
      </c>
      <c r="G288" s="334">
        <f t="shared" si="9"/>
        <v>85.24</v>
      </c>
    </row>
    <row r="289" spans="1:7" s="332" customFormat="1" ht="19.5" customHeight="1">
      <c r="A289" s="337" t="s">
        <v>132</v>
      </c>
      <c r="B289" s="194">
        <f>B290</f>
        <v>8036</v>
      </c>
      <c r="C289" s="166">
        <v>8983</v>
      </c>
      <c r="D289" s="194">
        <v>8983</v>
      </c>
      <c r="E289" s="194">
        <f>E290</f>
        <v>7355</v>
      </c>
      <c r="F289" s="334">
        <f t="shared" si="10"/>
        <v>91.53</v>
      </c>
      <c r="G289" s="334">
        <f t="shared" si="9"/>
        <v>81.88</v>
      </c>
    </row>
    <row r="290" spans="1:7" s="332" customFormat="1" ht="19.5" customHeight="1">
      <c r="A290" s="337" t="s">
        <v>133</v>
      </c>
      <c r="B290" s="165">
        <v>8036</v>
      </c>
      <c r="C290" s="166">
        <v>8983</v>
      </c>
      <c r="D290" s="166">
        <v>8983</v>
      </c>
      <c r="E290" s="191">
        <v>7355</v>
      </c>
      <c r="F290" s="334">
        <f t="shared" si="10"/>
        <v>91.53</v>
      </c>
      <c r="G290" s="334">
        <f t="shared" si="9"/>
        <v>81.88</v>
      </c>
    </row>
    <row r="291" spans="1:7" s="332" customFormat="1" ht="19.5" customHeight="1">
      <c r="A291" s="337" t="s">
        <v>134</v>
      </c>
      <c r="B291" s="194">
        <f>B292+B294+B295+B296+B297+B298+B300+B293+B299</f>
        <v>4187</v>
      </c>
      <c r="C291" s="166">
        <v>4377</v>
      </c>
      <c r="D291" s="194">
        <v>4377</v>
      </c>
      <c r="E291" s="194">
        <f>E292+E294+E295+E296+E297+E298+E300+E293+E299</f>
        <v>3815</v>
      </c>
      <c r="F291" s="334">
        <f t="shared" si="10"/>
        <v>91.12</v>
      </c>
      <c r="G291" s="334">
        <f t="shared" si="9"/>
        <v>87.16</v>
      </c>
    </row>
    <row r="292" spans="1:7" s="332" customFormat="1" ht="19.5" customHeight="1">
      <c r="A292" s="164" t="s">
        <v>978</v>
      </c>
      <c r="B292" s="165">
        <v>954</v>
      </c>
      <c r="C292" s="166">
        <v>953.73</v>
      </c>
      <c r="D292" s="166">
        <v>954</v>
      </c>
      <c r="E292" s="191">
        <v>860</v>
      </c>
      <c r="F292" s="334">
        <f t="shared" si="10"/>
        <v>90.15</v>
      </c>
      <c r="G292" s="334">
        <f t="shared" si="9"/>
        <v>90.17</v>
      </c>
    </row>
    <row r="293" spans="1:7" s="332" customFormat="1" ht="19.5" customHeight="1">
      <c r="A293" s="164" t="s">
        <v>979</v>
      </c>
      <c r="B293" s="165">
        <v>70</v>
      </c>
      <c r="C293" s="166">
        <v>70</v>
      </c>
      <c r="D293" s="166">
        <v>70</v>
      </c>
      <c r="E293" s="191">
        <v>70</v>
      </c>
      <c r="F293" s="334">
        <f>IF(B293=0,0,E293/B293*100)</f>
        <v>100</v>
      </c>
      <c r="G293" s="334">
        <f>IF(E293=0,0,E293/C293*100)</f>
        <v>100</v>
      </c>
    </row>
    <row r="294" spans="1:7" s="332" customFormat="1" ht="19.5" customHeight="1">
      <c r="A294" s="164" t="s">
        <v>980</v>
      </c>
      <c r="B294" s="165"/>
      <c r="C294" s="166">
        <v>135</v>
      </c>
      <c r="D294" s="166">
        <v>135</v>
      </c>
      <c r="E294" s="191">
        <v>135</v>
      </c>
      <c r="F294" s="334">
        <f t="shared" si="10"/>
        <v>0</v>
      </c>
      <c r="G294" s="334">
        <f t="shared" si="9"/>
        <v>100</v>
      </c>
    </row>
    <row r="295" spans="1:7" s="332" customFormat="1" ht="19.5" customHeight="1">
      <c r="A295" s="164" t="s">
        <v>981</v>
      </c>
      <c r="B295" s="165">
        <v>60</v>
      </c>
      <c r="C295" s="166">
        <v>64.5</v>
      </c>
      <c r="D295" s="166">
        <v>65</v>
      </c>
      <c r="E295" s="191">
        <v>65</v>
      </c>
      <c r="F295" s="334">
        <f t="shared" si="10"/>
        <v>108.33</v>
      </c>
      <c r="G295" s="334">
        <f t="shared" si="9"/>
        <v>100.78</v>
      </c>
    </row>
    <row r="296" spans="1:7" s="332" customFormat="1" ht="19.5" customHeight="1">
      <c r="A296" s="164" t="s">
        <v>982</v>
      </c>
      <c r="B296" s="165">
        <v>2600</v>
      </c>
      <c r="C296" s="166">
        <v>2500</v>
      </c>
      <c r="D296" s="166">
        <v>2500</v>
      </c>
      <c r="E296" s="191">
        <f>2109</f>
        <v>2109</v>
      </c>
      <c r="F296" s="334">
        <f t="shared" si="10"/>
        <v>81.12</v>
      </c>
      <c r="G296" s="334">
        <f t="shared" si="9"/>
        <v>84.36</v>
      </c>
    </row>
    <row r="297" spans="1:7" s="332" customFormat="1" ht="19.5" customHeight="1">
      <c r="A297" s="164" t="s">
        <v>983</v>
      </c>
      <c r="B297" s="165">
        <v>72</v>
      </c>
      <c r="C297" s="166">
        <v>129.65</v>
      </c>
      <c r="D297" s="166">
        <v>130</v>
      </c>
      <c r="E297" s="191">
        <v>106</v>
      </c>
      <c r="F297" s="334">
        <f t="shared" si="10"/>
        <v>147.22</v>
      </c>
      <c r="G297" s="334">
        <f t="shared" si="9"/>
        <v>81.76</v>
      </c>
    </row>
    <row r="298" spans="1:7" s="332" customFormat="1" ht="19.5" customHeight="1">
      <c r="A298" s="164" t="s">
        <v>984</v>
      </c>
      <c r="B298" s="165">
        <v>204</v>
      </c>
      <c r="C298" s="166">
        <v>204.32</v>
      </c>
      <c r="D298" s="166">
        <v>204</v>
      </c>
      <c r="E298" s="191">
        <v>204</v>
      </c>
      <c r="F298" s="334">
        <f t="shared" si="10"/>
        <v>100</v>
      </c>
      <c r="G298" s="334">
        <f t="shared" si="9"/>
        <v>99.84</v>
      </c>
    </row>
    <row r="299" spans="1:7" s="332" customFormat="1" ht="19.5" customHeight="1">
      <c r="A299" s="342" t="s">
        <v>1073</v>
      </c>
      <c r="B299" s="165"/>
      <c r="C299" s="166"/>
      <c r="D299" s="166">
        <v>0</v>
      </c>
      <c r="E299" s="191"/>
      <c r="F299" s="334">
        <f t="shared" si="10"/>
        <v>0</v>
      </c>
      <c r="G299" s="334">
        <f t="shared" si="9"/>
        <v>0</v>
      </c>
    </row>
    <row r="300" spans="1:7" s="332" customFormat="1" ht="19.5" customHeight="1">
      <c r="A300" s="164" t="s">
        <v>985</v>
      </c>
      <c r="B300" s="165">
        <v>227</v>
      </c>
      <c r="C300" s="166">
        <v>319</v>
      </c>
      <c r="D300" s="166">
        <v>319</v>
      </c>
      <c r="E300" s="191">
        <v>266</v>
      </c>
      <c r="F300" s="334">
        <f t="shared" si="10"/>
        <v>117.18</v>
      </c>
      <c r="G300" s="334">
        <f t="shared" si="9"/>
        <v>83.39</v>
      </c>
    </row>
    <row r="301" spans="1:7" s="332" customFormat="1" ht="19.5" customHeight="1">
      <c r="A301" s="337" t="s">
        <v>138</v>
      </c>
      <c r="B301" s="194">
        <f>B302</f>
        <v>80</v>
      </c>
      <c r="C301" s="166">
        <v>80</v>
      </c>
      <c r="D301" s="194">
        <v>80</v>
      </c>
      <c r="E301" s="194">
        <f>E302</f>
        <v>80</v>
      </c>
      <c r="F301" s="334">
        <f t="shared" si="10"/>
        <v>100</v>
      </c>
      <c r="G301" s="334">
        <f t="shared" si="9"/>
        <v>100</v>
      </c>
    </row>
    <row r="302" spans="1:7" s="332" customFormat="1" ht="19.5" customHeight="1">
      <c r="A302" s="337" t="s">
        <v>309</v>
      </c>
      <c r="B302" s="165">
        <v>80</v>
      </c>
      <c r="C302" s="166">
        <v>80</v>
      </c>
      <c r="D302" s="166">
        <v>80</v>
      </c>
      <c r="E302" s="191">
        <v>80</v>
      </c>
      <c r="F302" s="334">
        <f t="shared" si="10"/>
        <v>100</v>
      </c>
      <c r="G302" s="334">
        <f t="shared" si="9"/>
        <v>100</v>
      </c>
    </row>
    <row r="303" spans="1:7" s="332" customFormat="1" ht="19.5" customHeight="1">
      <c r="A303" s="337" t="s">
        <v>140</v>
      </c>
      <c r="B303" s="194">
        <f>B304</f>
        <v>50</v>
      </c>
      <c r="C303" s="166">
        <v>51</v>
      </c>
      <c r="D303" s="194">
        <v>51</v>
      </c>
      <c r="E303" s="194">
        <f>E304</f>
        <v>48</v>
      </c>
      <c r="F303" s="334">
        <f t="shared" si="10"/>
        <v>96</v>
      </c>
      <c r="G303" s="334">
        <f t="shared" si="9"/>
        <v>94.12</v>
      </c>
    </row>
    <row r="304" spans="1:7" s="332" customFormat="1" ht="19.5" customHeight="1">
      <c r="A304" s="337" t="s">
        <v>142</v>
      </c>
      <c r="B304" s="165">
        <v>50</v>
      </c>
      <c r="C304" s="166">
        <v>51</v>
      </c>
      <c r="D304" s="166">
        <v>51</v>
      </c>
      <c r="E304" s="191">
        <v>48</v>
      </c>
      <c r="F304" s="334">
        <f t="shared" si="10"/>
        <v>96</v>
      </c>
      <c r="G304" s="334">
        <f t="shared" si="9"/>
        <v>94.12</v>
      </c>
    </row>
    <row r="305" spans="1:7" s="332" customFormat="1" ht="19.5" customHeight="1">
      <c r="A305" s="337" t="s">
        <v>143</v>
      </c>
      <c r="B305" s="194">
        <f>B308+B309+B306+B307</f>
        <v>1098</v>
      </c>
      <c r="C305" s="166">
        <v>888</v>
      </c>
      <c r="D305" s="194">
        <v>888</v>
      </c>
      <c r="E305" s="194">
        <f>E308+E309+E306+E307</f>
        <v>868</v>
      </c>
      <c r="F305" s="334">
        <f t="shared" si="10"/>
        <v>79.05</v>
      </c>
      <c r="G305" s="334">
        <f t="shared" si="9"/>
        <v>97.75</v>
      </c>
    </row>
    <row r="306" spans="1:7" s="332" customFormat="1" ht="19.5" customHeight="1">
      <c r="A306" s="164" t="s">
        <v>986</v>
      </c>
      <c r="B306" s="165"/>
      <c r="C306" s="166">
        <v>59</v>
      </c>
      <c r="D306" s="166">
        <v>59</v>
      </c>
      <c r="E306" s="191">
        <v>39</v>
      </c>
      <c r="F306" s="334">
        <f>IF(B306=0,0,E306/B306*100)</f>
        <v>0</v>
      </c>
      <c r="G306" s="334">
        <f>IF(E306=0,0,E306/C306*100)</f>
        <v>66.1</v>
      </c>
    </row>
    <row r="307" spans="1:7" s="332" customFormat="1" ht="19.5" customHeight="1">
      <c r="A307" s="164" t="s">
        <v>987</v>
      </c>
      <c r="B307" s="165">
        <v>100</v>
      </c>
      <c r="C307" s="166">
        <v>0</v>
      </c>
      <c r="D307" s="226">
        <v>0</v>
      </c>
      <c r="E307" s="194"/>
      <c r="F307" s="334">
        <f>IF(B307=0,0,E307/B307*100)</f>
        <v>0</v>
      </c>
      <c r="G307" s="334">
        <f>IF(E307=0,0,E307/C307*100)</f>
        <v>0</v>
      </c>
    </row>
    <row r="308" spans="1:7" s="332" customFormat="1" ht="19.5" customHeight="1">
      <c r="A308" s="164" t="s">
        <v>988</v>
      </c>
      <c r="B308" s="165">
        <v>992</v>
      </c>
      <c r="C308" s="166">
        <v>828.9</v>
      </c>
      <c r="D308" s="166">
        <v>829</v>
      </c>
      <c r="E308" s="191">
        <v>829</v>
      </c>
      <c r="F308" s="334">
        <f t="shared" si="10"/>
        <v>83.57</v>
      </c>
      <c r="G308" s="334">
        <f t="shared" si="9"/>
        <v>100.01</v>
      </c>
    </row>
    <row r="309" spans="1:7" s="332" customFormat="1" ht="19.5" customHeight="1">
      <c r="A309" s="164" t="s">
        <v>989</v>
      </c>
      <c r="B309" s="165">
        <v>6</v>
      </c>
      <c r="C309" s="166">
        <v>0</v>
      </c>
      <c r="D309" s="226">
        <v>0</v>
      </c>
      <c r="E309" s="194">
        <v>0</v>
      </c>
      <c r="F309" s="334">
        <f t="shared" si="10"/>
        <v>0</v>
      </c>
      <c r="G309" s="334">
        <f t="shared" si="9"/>
        <v>0</v>
      </c>
    </row>
    <row r="310" spans="1:7" s="332" customFormat="1" ht="19.5" customHeight="1">
      <c r="A310" s="337" t="s">
        <v>145</v>
      </c>
      <c r="B310" s="194">
        <f>B311+B312+B313</f>
        <v>1038</v>
      </c>
      <c r="C310" s="166">
        <v>619</v>
      </c>
      <c r="D310" s="194">
        <v>619</v>
      </c>
      <c r="E310" s="194">
        <f>E311+E312+E313</f>
        <v>619</v>
      </c>
      <c r="F310" s="334">
        <f t="shared" si="10"/>
        <v>59.63</v>
      </c>
      <c r="G310" s="334">
        <f t="shared" si="9"/>
        <v>100</v>
      </c>
    </row>
    <row r="311" spans="1:7" s="332" customFormat="1" ht="19.5" customHeight="1">
      <c r="A311" s="337" t="s">
        <v>310</v>
      </c>
      <c r="B311" s="165">
        <v>986</v>
      </c>
      <c r="C311" s="166">
        <v>567</v>
      </c>
      <c r="D311" s="166">
        <v>567</v>
      </c>
      <c r="E311" s="191">
        <v>567</v>
      </c>
      <c r="F311" s="334">
        <f t="shared" si="10"/>
        <v>57.51</v>
      </c>
      <c r="G311" s="334">
        <f t="shared" si="9"/>
        <v>100</v>
      </c>
    </row>
    <row r="312" spans="1:7" s="332" customFormat="1" ht="19.5" customHeight="1">
      <c r="A312" s="337" t="s">
        <v>311</v>
      </c>
      <c r="B312" s="165">
        <v>23</v>
      </c>
      <c r="C312" s="166">
        <v>22.7</v>
      </c>
      <c r="D312" s="166">
        <v>23</v>
      </c>
      <c r="E312" s="191">
        <v>23</v>
      </c>
      <c r="F312" s="334">
        <f t="shared" si="10"/>
        <v>100</v>
      </c>
      <c r="G312" s="334">
        <f t="shared" si="9"/>
        <v>101.32</v>
      </c>
    </row>
    <row r="313" spans="1:7" s="332" customFormat="1" ht="19.5" customHeight="1">
      <c r="A313" s="337" t="s">
        <v>312</v>
      </c>
      <c r="B313" s="165">
        <v>29</v>
      </c>
      <c r="C313" s="166">
        <v>29</v>
      </c>
      <c r="D313" s="166">
        <v>29</v>
      </c>
      <c r="E313" s="191">
        <v>29</v>
      </c>
      <c r="F313" s="334">
        <f t="shared" si="10"/>
        <v>100</v>
      </c>
      <c r="G313" s="334">
        <f t="shared" si="9"/>
        <v>100</v>
      </c>
    </row>
    <row r="314" spans="1:7" s="332" customFormat="1" ht="19.5" customHeight="1">
      <c r="A314" s="337" t="s">
        <v>580</v>
      </c>
      <c r="B314" s="194">
        <f>B317+B324+B326+B330+B332+B336+B341+3</f>
        <v>75704</v>
      </c>
      <c r="C314" s="165">
        <v>108617</v>
      </c>
      <c r="D314" s="194">
        <v>111318</v>
      </c>
      <c r="E314" s="194">
        <f>E315+E317+E324+E326+E330+E332+E336+E341</f>
        <v>35933</v>
      </c>
      <c r="F314" s="334">
        <f t="shared" si="10"/>
        <v>47.47</v>
      </c>
      <c r="G314" s="334">
        <f t="shared" si="9"/>
        <v>33.08</v>
      </c>
    </row>
    <row r="315" spans="1:7" s="332" customFormat="1" ht="19.5" customHeight="1">
      <c r="A315" s="337" t="s">
        <v>148</v>
      </c>
      <c r="B315" s="194">
        <v>0</v>
      </c>
      <c r="C315" s="345"/>
      <c r="D315" s="194"/>
      <c r="E315" s="194">
        <v>0</v>
      </c>
      <c r="F315" s="334">
        <f t="shared" si="10"/>
        <v>0</v>
      </c>
      <c r="G315" s="334">
        <f t="shared" si="9"/>
        <v>0</v>
      </c>
    </row>
    <row r="316" spans="1:7" s="332" customFormat="1" ht="19.5" customHeight="1">
      <c r="A316" s="337" t="s">
        <v>313</v>
      </c>
      <c r="B316" s="194">
        <v>0</v>
      </c>
      <c r="C316" s="345"/>
      <c r="D316" s="194"/>
      <c r="E316" s="194">
        <v>0</v>
      </c>
      <c r="F316" s="334">
        <f t="shared" si="10"/>
        <v>0</v>
      </c>
      <c r="G316" s="334">
        <f t="shared" si="9"/>
        <v>0</v>
      </c>
    </row>
    <row r="317" spans="1:7" s="332" customFormat="1" ht="19.5" customHeight="1">
      <c r="A317" s="337" t="s">
        <v>150</v>
      </c>
      <c r="B317" s="194">
        <f>B318+B319+B320+B321+B323+B322</f>
        <v>13932</v>
      </c>
      <c r="C317" s="166">
        <v>15898</v>
      </c>
      <c r="D317" s="194">
        <v>16007</v>
      </c>
      <c r="E317" s="194">
        <f>E318+E319+E320+E321+E322+E323</f>
        <v>13741</v>
      </c>
      <c r="F317" s="334">
        <f t="shared" si="10"/>
        <v>98.63</v>
      </c>
      <c r="G317" s="334">
        <f t="shared" si="9"/>
        <v>86.43</v>
      </c>
    </row>
    <row r="318" spans="1:7" s="332" customFormat="1" ht="19.5" customHeight="1">
      <c r="A318" s="337" t="s">
        <v>151</v>
      </c>
      <c r="B318" s="165">
        <v>4237</v>
      </c>
      <c r="C318" s="166">
        <v>3238</v>
      </c>
      <c r="D318" s="166">
        <v>3238</v>
      </c>
      <c r="E318" s="191">
        <v>2971</v>
      </c>
      <c r="F318" s="334">
        <f t="shared" si="10"/>
        <v>70.12</v>
      </c>
      <c r="G318" s="334">
        <f t="shared" si="9"/>
        <v>91.75</v>
      </c>
    </row>
    <row r="319" spans="1:7" s="332" customFormat="1" ht="19.5" customHeight="1">
      <c r="A319" s="342" t="s">
        <v>1062</v>
      </c>
      <c r="B319" s="165">
        <v>4796</v>
      </c>
      <c r="C319" s="166">
        <v>4715</v>
      </c>
      <c r="D319" s="166">
        <v>4715</v>
      </c>
      <c r="E319" s="191">
        <v>4384</v>
      </c>
      <c r="F319" s="334">
        <f t="shared" si="10"/>
        <v>91.41</v>
      </c>
      <c r="G319" s="334">
        <f t="shared" si="9"/>
        <v>92.98</v>
      </c>
    </row>
    <row r="320" spans="1:7" s="332" customFormat="1" ht="19.5" customHeight="1">
      <c r="A320" s="337" t="s">
        <v>153</v>
      </c>
      <c r="B320" s="165">
        <v>2717</v>
      </c>
      <c r="C320" s="166">
        <v>2672</v>
      </c>
      <c r="D320" s="166">
        <v>2672</v>
      </c>
      <c r="E320" s="191">
        <v>2350</v>
      </c>
      <c r="F320" s="334">
        <f t="shared" si="10"/>
        <v>86.49</v>
      </c>
      <c r="G320" s="334">
        <f t="shared" si="9"/>
        <v>87.95</v>
      </c>
    </row>
    <row r="321" spans="1:7" s="332" customFormat="1" ht="19.5" customHeight="1">
      <c r="A321" s="337" t="s">
        <v>154</v>
      </c>
      <c r="B321" s="165">
        <v>1928</v>
      </c>
      <c r="C321" s="166">
        <v>2936</v>
      </c>
      <c r="D321" s="166">
        <v>3036</v>
      </c>
      <c r="E321" s="191">
        <v>2780</v>
      </c>
      <c r="F321" s="334">
        <f t="shared" si="10"/>
        <v>144.19</v>
      </c>
      <c r="G321" s="334">
        <f t="shared" si="9"/>
        <v>94.69</v>
      </c>
    </row>
    <row r="322" spans="1:7" s="332" customFormat="1" ht="19.5" customHeight="1">
      <c r="A322" s="337" t="s">
        <v>314</v>
      </c>
      <c r="B322" s="165"/>
      <c r="C322" s="166">
        <v>11.75</v>
      </c>
      <c r="D322" s="166">
        <v>21</v>
      </c>
      <c r="E322" s="191">
        <v>12</v>
      </c>
      <c r="F322" s="334">
        <f t="shared" si="10"/>
        <v>0</v>
      </c>
      <c r="G322" s="334">
        <f t="shared" si="9"/>
        <v>102.13</v>
      </c>
    </row>
    <row r="323" spans="1:7" s="332" customFormat="1" ht="19.5" customHeight="1">
      <c r="A323" s="337" t="s">
        <v>155</v>
      </c>
      <c r="B323" s="165">
        <v>254</v>
      </c>
      <c r="C323" s="166">
        <v>2325.38</v>
      </c>
      <c r="D323" s="166">
        <v>2325</v>
      </c>
      <c r="E323" s="191">
        <v>1244</v>
      </c>
      <c r="F323" s="334">
        <f t="shared" si="10"/>
        <v>489.76</v>
      </c>
      <c r="G323" s="334">
        <f t="shared" si="9"/>
        <v>53.5</v>
      </c>
    </row>
    <row r="324" spans="1:7" s="332" customFormat="1" ht="19.5" customHeight="1">
      <c r="A324" s="337" t="s">
        <v>156</v>
      </c>
      <c r="B324" s="194">
        <f>B325</f>
        <v>1303</v>
      </c>
      <c r="C324" s="166">
        <v>1141.5</v>
      </c>
      <c r="D324" s="194">
        <v>1459</v>
      </c>
      <c r="E324" s="194">
        <f>E325</f>
        <v>1088</v>
      </c>
      <c r="F324" s="334">
        <f t="shared" si="10"/>
        <v>83.5</v>
      </c>
      <c r="G324" s="334">
        <f t="shared" si="9"/>
        <v>95.31</v>
      </c>
    </row>
    <row r="325" spans="1:7" s="332" customFormat="1" ht="19.5" customHeight="1">
      <c r="A325" s="337" t="s">
        <v>157</v>
      </c>
      <c r="B325" s="165">
        <v>1303</v>
      </c>
      <c r="C325" s="166">
        <v>1141.5</v>
      </c>
      <c r="D325" s="166">
        <v>1459</v>
      </c>
      <c r="E325" s="191">
        <v>1088</v>
      </c>
      <c r="F325" s="334">
        <f t="shared" si="10"/>
        <v>83.5</v>
      </c>
      <c r="G325" s="334">
        <f t="shared" si="9"/>
        <v>95.31</v>
      </c>
    </row>
    <row r="326" spans="1:7" s="332" customFormat="1" ht="19.5" customHeight="1">
      <c r="A326" s="337" t="s">
        <v>158</v>
      </c>
      <c r="B326" s="194">
        <f>B327+B328+B329</f>
        <v>79</v>
      </c>
      <c r="C326" s="166">
        <v>123</v>
      </c>
      <c r="D326" s="194">
        <v>123</v>
      </c>
      <c r="E326" s="194">
        <f>E327+E328+E329</f>
        <v>122</v>
      </c>
      <c r="F326" s="334">
        <f t="shared" si="10"/>
        <v>154.43</v>
      </c>
      <c r="G326" s="334">
        <f t="shared" si="9"/>
        <v>99.19</v>
      </c>
    </row>
    <row r="327" spans="1:7" s="332" customFormat="1" ht="19.5" customHeight="1">
      <c r="A327" s="337" t="s">
        <v>315</v>
      </c>
      <c r="B327" s="194">
        <v>0</v>
      </c>
      <c r="C327" s="166"/>
      <c r="D327" s="194"/>
      <c r="E327" s="194">
        <v>0</v>
      </c>
      <c r="F327" s="334">
        <f t="shared" si="10"/>
        <v>0</v>
      </c>
      <c r="G327" s="334">
        <f t="shared" si="9"/>
        <v>0</v>
      </c>
    </row>
    <row r="328" spans="1:7" s="332" customFormat="1" ht="19.5" customHeight="1">
      <c r="A328" s="337" t="s">
        <v>159</v>
      </c>
      <c r="B328" s="165">
        <v>12</v>
      </c>
      <c r="C328" s="166">
        <v>10.26</v>
      </c>
      <c r="D328" s="166">
        <v>10</v>
      </c>
      <c r="E328" s="191">
        <v>10</v>
      </c>
      <c r="F328" s="334">
        <f t="shared" si="10"/>
        <v>83.33</v>
      </c>
      <c r="G328" s="334">
        <f t="shared" si="9"/>
        <v>97.47</v>
      </c>
    </row>
    <row r="329" spans="1:7" s="332" customFormat="1" ht="19.5" customHeight="1">
      <c r="A329" s="337" t="s">
        <v>160</v>
      </c>
      <c r="B329" s="165">
        <v>67</v>
      </c>
      <c r="C329" s="166">
        <v>112</v>
      </c>
      <c r="D329" s="166">
        <v>112</v>
      </c>
      <c r="E329" s="191">
        <v>112</v>
      </c>
      <c r="F329" s="334">
        <f t="shared" si="10"/>
        <v>167.16</v>
      </c>
      <c r="G329" s="334">
        <f t="shared" si="9"/>
        <v>100</v>
      </c>
    </row>
    <row r="330" spans="1:7" s="332" customFormat="1" ht="19.5" customHeight="1">
      <c r="A330" s="337" t="s">
        <v>161</v>
      </c>
      <c r="B330" s="194">
        <f>B331</f>
        <v>661</v>
      </c>
      <c r="C330" s="166">
        <v>670</v>
      </c>
      <c r="D330" s="194">
        <v>670</v>
      </c>
      <c r="E330" s="194">
        <f>E331</f>
        <v>655</v>
      </c>
      <c r="F330" s="334">
        <f t="shared" si="10"/>
        <v>99.09</v>
      </c>
      <c r="G330" s="334">
        <f t="shared" si="9"/>
        <v>97.76</v>
      </c>
    </row>
    <row r="331" spans="1:7" s="332" customFormat="1" ht="19.5" customHeight="1">
      <c r="A331" s="337" t="s">
        <v>162</v>
      </c>
      <c r="B331" s="165">
        <v>661</v>
      </c>
      <c r="C331" s="166">
        <v>670</v>
      </c>
      <c r="D331" s="166">
        <v>670</v>
      </c>
      <c r="E331" s="191">
        <v>655</v>
      </c>
      <c r="F331" s="334">
        <f t="shared" si="10"/>
        <v>99.09</v>
      </c>
      <c r="G331" s="334">
        <f t="shared" si="9"/>
        <v>97.76</v>
      </c>
    </row>
    <row r="332" spans="1:7" s="332" customFormat="1" ht="19.5" customHeight="1">
      <c r="A332" s="337" t="s">
        <v>163</v>
      </c>
      <c r="B332" s="194">
        <f>B333+B334+B335</f>
        <v>10098</v>
      </c>
      <c r="C332" s="166">
        <v>63</v>
      </c>
      <c r="D332" s="194">
        <v>63</v>
      </c>
      <c r="E332" s="194">
        <f>E333+E334+E335</f>
        <v>63</v>
      </c>
      <c r="F332" s="334">
        <f t="shared" si="10"/>
        <v>0.62</v>
      </c>
      <c r="G332" s="334">
        <f aca="true" t="shared" si="11" ref="G332:G359">IF(E332=0,0,E332/C332*100)</f>
        <v>100</v>
      </c>
    </row>
    <row r="333" spans="1:7" s="332" customFormat="1" ht="19.5" customHeight="1">
      <c r="A333" s="337" t="s">
        <v>164</v>
      </c>
      <c r="B333" s="165">
        <v>19</v>
      </c>
      <c r="C333" s="166">
        <v>10</v>
      </c>
      <c r="D333" s="166">
        <v>10</v>
      </c>
      <c r="E333" s="191">
        <v>10</v>
      </c>
      <c r="F333" s="334">
        <f t="shared" si="10"/>
        <v>52.63</v>
      </c>
      <c r="G333" s="334">
        <f t="shared" si="11"/>
        <v>100</v>
      </c>
    </row>
    <row r="334" spans="1:7" s="332" customFormat="1" ht="19.5" customHeight="1">
      <c r="A334" s="337" t="s">
        <v>165</v>
      </c>
      <c r="B334" s="165">
        <v>10057</v>
      </c>
      <c r="C334" s="166">
        <v>53</v>
      </c>
      <c r="D334" s="166">
        <v>53</v>
      </c>
      <c r="E334" s="191">
        <v>53</v>
      </c>
      <c r="F334" s="334">
        <f t="shared" si="10"/>
        <v>0.53</v>
      </c>
      <c r="G334" s="334">
        <f t="shared" si="11"/>
        <v>100</v>
      </c>
    </row>
    <row r="335" spans="1:7" s="332" customFormat="1" ht="19.5" customHeight="1">
      <c r="A335" s="337" t="s">
        <v>166</v>
      </c>
      <c r="B335" s="165">
        <v>22</v>
      </c>
      <c r="C335" s="166">
        <v>0</v>
      </c>
      <c r="D335" s="226">
        <v>0</v>
      </c>
      <c r="E335" s="194">
        <v>0</v>
      </c>
      <c r="F335" s="334">
        <f aca="true" t="shared" si="12" ref="F335:F359">IF(B335=0,0,E335/B335*100)</f>
        <v>0</v>
      </c>
      <c r="G335" s="334">
        <f t="shared" si="11"/>
        <v>0</v>
      </c>
    </row>
    <row r="336" spans="1:7" s="332" customFormat="1" ht="19.5" customHeight="1">
      <c r="A336" s="337" t="s">
        <v>316</v>
      </c>
      <c r="B336" s="194">
        <f>B338+B340+B339+B337</f>
        <v>49628</v>
      </c>
      <c r="C336" s="166">
        <v>90722</v>
      </c>
      <c r="D336" s="194">
        <v>92272</v>
      </c>
      <c r="E336" s="194">
        <f>E338+E340+E339</f>
        <v>20264</v>
      </c>
      <c r="F336" s="334">
        <f t="shared" si="12"/>
        <v>40.83</v>
      </c>
      <c r="G336" s="334">
        <f t="shared" si="11"/>
        <v>22.34</v>
      </c>
    </row>
    <row r="337" spans="1:7" s="332" customFormat="1" ht="19.5" customHeight="1">
      <c r="A337" s="342" t="s">
        <v>317</v>
      </c>
      <c r="B337" s="194"/>
      <c r="C337" s="166"/>
      <c r="D337" s="200"/>
      <c r="E337" s="194"/>
      <c r="F337" s="334"/>
      <c r="G337" s="334"/>
    </row>
    <row r="338" spans="1:7" s="332" customFormat="1" ht="19.5" customHeight="1">
      <c r="A338" s="164" t="s">
        <v>990</v>
      </c>
      <c r="B338" s="165"/>
      <c r="C338" s="166">
        <v>13.2</v>
      </c>
      <c r="D338" s="226">
        <v>13</v>
      </c>
      <c r="E338" s="194">
        <v>0</v>
      </c>
      <c r="F338" s="334">
        <f t="shared" si="12"/>
        <v>0</v>
      </c>
      <c r="G338" s="334">
        <f t="shared" si="11"/>
        <v>0</v>
      </c>
    </row>
    <row r="339" spans="1:7" s="332" customFormat="1" ht="19.5" customHeight="1">
      <c r="A339" s="164" t="s">
        <v>991</v>
      </c>
      <c r="B339" s="165"/>
      <c r="C339" s="166">
        <v>450</v>
      </c>
      <c r="D339" s="166">
        <v>450</v>
      </c>
      <c r="E339" s="191">
        <v>450</v>
      </c>
      <c r="F339" s="334">
        <f t="shared" si="12"/>
        <v>0</v>
      </c>
      <c r="G339" s="334">
        <f t="shared" si="11"/>
        <v>100</v>
      </c>
    </row>
    <row r="340" spans="1:7" s="332" customFormat="1" ht="19.5" customHeight="1">
      <c r="A340" s="337" t="s">
        <v>318</v>
      </c>
      <c r="B340" s="165">
        <v>49628</v>
      </c>
      <c r="C340" s="166">
        <v>90259</v>
      </c>
      <c r="D340" s="166">
        <v>91809</v>
      </c>
      <c r="E340" s="191">
        <v>19814</v>
      </c>
      <c r="F340" s="334">
        <f t="shared" si="12"/>
        <v>39.93</v>
      </c>
      <c r="G340" s="334">
        <f t="shared" si="11"/>
        <v>21.95</v>
      </c>
    </row>
    <row r="341" spans="1:7" s="332" customFormat="1" ht="19.5" customHeight="1">
      <c r="A341" s="337" t="s">
        <v>319</v>
      </c>
      <c r="B341" s="194">
        <f>B342</f>
        <v>0</v>
      </c>
      <c r="C341" s="226"/>
      <c r="D341" s="194">
        <v>723</v>
      </c>
      <c r="E341" s="194">
        <f>E342</f>
        <v>0</v>
      </c>
      <c r="F341" s="334">
        <f t="shared" si="12"/>
        <v>0</v>
      </c>
      <c r="G341" s="334">
        <f t="shared" si="11"/>
        <v>0</v>
      </c>
    </row>
    <row r="342" spans="1:7" s="332" customFormat="1" ht="19.5" customHeight="1">
      <c r="A342" s="337" t="s">
        <v>320</v>
      </c>
      <c r="B342" s="194">
        <v>0</v>
      </c>
      <c r="C342" s="226"/>
      <c r="D342" s="194">
        <v>723</v>
      </c>
      <c r="E342" s="194">
        <v>0</v>
      </c>
      <c r="F342" s="334">
        <f t="shared" si="12"/>
        <v>0</v>
      </c>
      <c r="G342" s="334">
        <f t="shared" si="11"/>
        <v>0</v>
      </c>
    </row>
    <row r="343" spans="1:7" s="332" customFormat="1" ht="19.5" customHeight="1">
      <c r="A343" s="337" t="s">
        <v>581</v>
      </c>
      <c r="B343" s="194">
        <f>B344+B346+B349+B352+B357+B360+B364+B367+B369</f>
        <v>32020</v>
      </c>
      <c r="C343" s="165">
        <v>27580</v>
      </c>
      <c r="D343" s="194">
        <v>30082</v>
      </c>
      <c r="E343" s="194">
        <f>E344+E346+E349+E352+E357+E360+E364+E369+E367+1</f>
        <v>17987</v>
      </c>
      <c r="F343" s="334">
        <f t="shared" si="12"/>
        <v>56.17</v>
      </c>
      <c r="G343" s="334">
        <f t="shared" si="11"/>
        <v>65.22</v>
      </c>
    </row>
    <row r="344" spans="1:7" s="332" customFormat="1" ht="19.5" customHeight="1">
      <c r="A344" s="337" t="s">
        <v>167</v>
      </c>
      <c r="B344" s="194">
        <f>B345</f>
        <v>1790</v>
      </c>
      <c r="C344" s="166">
        <v>1435</v>
      </c>
      <c r="D344" s="194">
        <v>1435</v>
      </c>
      <c r="E344" s="194">
        <f>SUM(E345)</f>
        <v>1398</v>
      </c>
      <c r="F344" s="334">
        <f t="shared" si="12"/>
        <v>78.1</v>
      </c>
      <c r="G344" s="334">
        <f t="shared" si="11"/>
        <v>97.42</v>
      </c>
    </row>
    <row r="345" spans="1:7" s="332" customFormat="1" ht="19.5" customHeight="1">
      <c r="A345" s="337" t="s">
        <v>321</v>
      </c>
      <c r="B345" s="165">
        <v>1790</v>
      </c>
      <c r="C345" s="166">
        <v>1435</v>
      </c>
      <c r="D345" s="166">
        <v>1435</v>
      </c>
      <c r="E345" s="191">
        <v>1398</v>
      </c>
      <c r="F345" s="334">
        <f t="shared" si="12"/>
        <v>78.1</v>
      </c>
      <c r="G345" s="334">
        <f t="shared" si="11"/>
        <v>97.42</v>
      </c>
    </row>
    <row r="346" spans="1:7" s="332" customFormat="1" ht="19.5" customHeight="1">
      <c r="A346" s="337" t="s">
        <v>322</v>
      </c>
      <c r="B346" s="194">
        <f>B347</f>
        <v>0</v>
      </c>
      <c r="C346" s="166">
        <v>60</v>
      </c>
      <c r="D346" s="194">
        <v>60</v>
      </c>
      <c r="E346" s="194">
        <f>E347</f>
        <v>0</v>
      </c>
      <c r="F346" s="334">
        <f t="shared" si="12"/>
        <v>0</v>
      </c>
      <c r="G346" s="334">
        <f t="shared" si="11"/>
        <v>0</v>
      </c>
    </row>
    <row r="347" spans="1:7" s="332" customFormat="1" ht="19.5" customHeight="1">
      <c r="A347" s="337" t="s">
        <v>323</v>
      </c>
      <c r="B347" s="165"/>
      <c r="C347" s="166">
        <v>60</v>
      </c>
      <c r="D347" s="226">
        <v>60</v>
      </c>
      <c r="E347" s="194">
        <v>0</v>
      </c>
      <c r="F347" s="334">
        <f t="shared" si="12"/>
        <v>0</v>
      </c>
      <c r="G347" s="334">
        <f t="shared" si="11"/>
        <v>0</v>
      </c>
    </row>
    <row r="348" spans="1:7" s="332" customFormat="1" ht="19.5" customHeight="1">
      <c r="A348" s="337" t="s">
        <v>324</v>
      </c>
      <c r="B348" s="194">
        <v>0</v>
      </c>
      <c r="C348" s="166"/>
      <c r="D348" s="194"/>
      <c r="E348" s="194">
        <v>0</v>
      </c>
      <c r="F348" s="334">
        <f t="shared" si="12"/>
        <v>0</v>
      </c>
      <c r="G348" s="334">
        <f t="shared" si="11"/>
        <v>0</v>
      </c>
    </row>
    <row r="349" spans="1:7" s="332" customFormat="1" ht="19.5" customHeight="1">
      <c r="A349" s="337" t="s">
        <v>325</v>
      </c>
      <c r="B349" s="194">
        <f>B350+B351</f>
        <v>0</v>
      </c>
      <c r="C349" s="166">
        <v>15</v>
      </c>
      <c r="D349" s="194">
        <v>586</v>
      </c>
      <c r="E349" s="194">
        <f>E350+E351</f>
        <v>364</v>
      </c>
      <c r="F349" s="334">
        <f t="shared" si="12"/>
        <v>0</v>
      </c>
      <c r="G349" s="334">
        <f t="shared" si="11"/>
        <v>2426.67</v>
      </c>
    </row>
    <row r="350" spans="1:7" s="332" customFormat="1" ht="19.5" customHeight="1">
      <c r="A350" s="337" t="s">
        <v>326</v>
      </c>
      <c r="B350" s="194">
        <v>0</v>
      </c>
      <c r="C350" s="166"/>
      <c r="D350" s="194">
        <v>586</v>
      </c>
      <c r="E350" s="194">
        <v>0</v>
      </c>
      <c r="F350" s="334">
        <f t="shared" si="12"/>
        <v>0</v>
      </c>
      <c r="G350" s="334">
        <f t="shared" si="11"/>
        <v>0</v>
      </c>
    </row>
    <row r="351" spans="1:7" s="332" customFormat="1" ht="19.5" customHeight="1">
      <c r="A351" s="337" t="s">
        <v>327</v>
      </c>
      <c r="B351" s="165"/>
      <c r="C351" s="166">
        <v>15</v>
      </c>
      <c r="D351" s="166"/>
      <c r="E351" s="191">
        <v>364</v>
      </c>
      <c r="F351" s="334">
        <f t="shared" si="12"/>
        <v>0</v>
      </c>
      <c r="G351" s="334">
        <f t="shared" si="11"/>
        <v>2426.67</v>
      </c>
    </row>
    <row r="352" spans="1:7" s="332" customFormat="1" ht="19.5" customHeight="1">
      <c r="A352" s="337" t="s">
        <v>328</v>
      </c>
      <c r="B352" s="194">
        <f>B353+B354+B355+B356</f>
        <v>29200</v>
      </c>
      <c r="C352" s="166">
        <v>25155</v>
      </c>
      <c r="D352" s="194">
        <v>27085</v>
      </c>
      <c r="E352" s="194">
        <f>E353+E354+E355+E356</f>
        <v>15663</v>
      </c>
      <c r="F352" s="334">
        <f t="shared" si="12"/>
        <v>53.64</v>
      </c>
      <c r="G352" s="334">
        <f t="shared" si="11"/>
        <v>62.27</v>
      </c>
    </row>
    <row r="353" spans="1:7" s="332" customFormat="1" ht="19.5" customHeight="1">
      <c r="A353" s="337" t="s">
        <v>329</v>
      </c>
      <c r="B353" s="165"/>
      <c r="C353" s="166">
        <v>3676</v>
      </c>
      <c r="D353" s="166">
        <v>5185</v>
      </c>
      <c r="E353" s="191">
        <v>3639</v>
      </c>
      <c r="F353" s="334">
        <f t="shared" si="12"/>
        <v>0</v>
      </c>
      <c r="G353" s="334">
        <f t="shared" si="11"/>
        <v>98.99</v>
      </c>
    </row>
    <row r="354" spans="1:7" s="332" customFormat="1" ht="19.5" customHeight="1">
      <c r="A354" s="337" t="s">
        <v>330</v>
      </c>
      <c r="B354" s="165">
        <v>8200</v>
      </c>
      <c r="C354" s="166">
        <v>5436.2</v>
      </c>
      <c r="D354" s="166">
        <v>5543</v>
      </c>
      <c r="E354" s="191">
        <v>4787</v>
      </c>
      <c r="F354" s="334">
        <f t="shared" si="12"/>
        <v>58.38</v>
      </c>
      <c r="G354" s="334">
        <f t="shared" si="11"/>
        <v>88.06</v>
      </c>
    </row>
    <row r="355" spans="1:7" s="332" customFormat="1" ht="19.5" customHeight="1">
      <c r="A355" s="337" t="s">
        <v>331</v>
      </c>
      <c r="B355" s="165"/>
      <c r="C355" s="166">
        <v>170</v>
      </c>
      <c r="D355" s="166">
        <v>485</v>
      </c>
      <c r="E355" s="191">
        <v>170</v>
      </c>
      <c r="F355" s="334">
        <f t="shared" si="12"/>
        <v>0</v>
      </c>
      <c r="G355" s="334">
        <f t="shared" si="11"/>
        <v>100</v>
      </c>
    </row>
    <row r="356" spans="1:7" s="332" customFormat="1" ht="19.5" customHeight="1">
      <c r="A356" s="337" t="s">
        <v>332</v>
      </c>
      <c r="B356" s="165">
        <v>21000</v>
      </c>
      <c r="C356" s="166">
        <v>15872</v>
      </c>
      <c r="D356" s="166">
        <v>15872</v>
      </c>
      <c r="E356" s="191">
        <v>7067</v>
      </c>
      <c r="F356" s="334">
        <f t="shared" si="12"/>
        <v>33.65</v>
      </c>
      <c r="G356" s="334">
        <f t="shared" si="11"/>
        <v>44.52</v>
      </c>
    </row>
    <row r="357" spans="1:7" s="332" customFormat="1" ht="19.5" customHeight="1">
      <c r="A357" s="337" t="s">
        <v>333</v>
      </c>
      <c r="B357" s="194">
        <f>B358</f>
        <v>0</v>
      </c>
      <c r="C357" s="166">
        <v>120</v>
      </c>
      <c r="D357" s="194">
        <v>120</v>
      </c>
      <c r="E357" s="194">
        <f>E358</f>
        <v>0</v>
      </c>
      <c r="F357" s="334">
        <f t="shared" si="12"/>
        <v>0</v>
      </c>
      <c r="G357" s="334">
        <f t="shared" si="11"/>
        <v>0</v>
      </c>
    </row>
    <row r="358" spans="1:7" s="332" customFormat="1" ht="19.5" customHeight="1">
      <c r="A358" s="337" t="s">
        <v>334</v>
      </c>
      <c r="B358" s="165"/>
      <c r="C358" s="166">
        <v>120</v>
      </c>
      <c r="D358" s="226">
        <v>120</v>
      </c>
      <c r="E358" s="194">
        <v>0</v>
      </c>
      <c r="F358" s="334">
        <f t="shared" si="12"/>
        <v>0</v>
      </c>
      <c r="G358" s="334">
        <f t="shared" si="11"/>
        <v>0</v>
      </c>
    </row>
    <row r="359" spans="1:7" s="332" customFormat="1" ht="19.5" customHeight="1">
      <c r="A359" s="337" t="s">
        <v>335</v>
      </c>
      <c r="B359" s="194">
        <v>0</v>
      </c>
      <c r="C359" s="166"/>
      <c r="D359" s="194"/>
      <c r="E359" s="194">
        <v>0</v>
      </c>
      <c r="F359" s="334">
        <f t="shared" si="12"/>
        <v>0</v>
      </c>
      <c r="G359" s="334">
        <f t="shared" si="11"/>
        <v>0</v>
      </c>
    </row>
    <row r="360" spans="1:7" s="332" customFormat="1" ht="19.5" customHeight="1">
      <c r="A360" s="337" t="s">
        <v>169</v>
      </c>
      <c r="B360" s="194">
        <f>B361+B362</f>
        <v>530</v>
      </c>
      <c r="C360" s="166">
        <v>471.4</v>
      </c>
      <c r="D360" s="194">
        <v>471</v>
      </c>
      <c r="E360" s="194">
        <f>E361+E362</f>
        <v>317</v>
      </c>
      <c r="F360" s="334">
        <f>IF(B360=0,0,E360/B360*100)</f>
        <v>59.81</v>
      </c>
      <c r="G360" s="334">
        <f>IF(E360=0,0,E360/C360*100)</f>
        <v>67.25</v>
      </c>
    </row>
    <row r="361" spans="1:7" s="332" customFormat="1" ht="19.5" customHeight="1">
      <c r="A361" s="337" t="s">
        <v>336</v>
      </c>
      <c r="B361" s="165">
        <v>530</v>
      </c>
      <c r="C361" s="166">
        <v>471.4</v>
      </c>
      <c r="D361" s="166">
        <v>471</v>
      </c>
      <c r="E361" s="191">
        <v>317</v>
      </c>
      <c r="F361" s="334">
        <f>IF(B361=0,0,E361/B361*100)</f>
        <v>59.81</v>
      </c>
      <c r="G361" s="334">
        <f>IF(E361=0,0,E361/C361*100)</f>
        <v>67.25</v>
      </c>
    </row>
    <row r="362" spans="1:7" s="332" customFormat="1" ht="19.5" customHeight="1">
      <c r="A362" s="337" t="s">
        <v>171</v>
      </c>
      <c r="B362" s="165"/>
      <c r="C362" s="166">
        <v>0</v>
      </c>
      <c r="D362" s="226">
        <v>0</v>
      </c>
      <c r="E362" s="194">
        <v>0</v>
      </c>
      <c r="F362" s="334">
        <f>IF(B362=0,0,E362/B362*100)</f>
        <v>0</v>
      </c>
      <c r="G362" s="334">
        <f>IF(E362=0,0,E362/C362*100)</f>
        <v>0</v>
      </c>
    </row>
    <row r="363" spans="1:7" s="332" customFormat="1" ht="19.5" customHeight="1">
      <c r="A363" s="337" t="s">
        <v>337</v>
      </c>
      <c r="B363" s="194">
        <v>0</v>
      </c>
      <c r="C363" s="166"/>
      <c r="D363" s="194"/>
      <c r="E363" s="194">
        <v>0</v>
      </c>
      <c r="F363" s="334">
        <f>IF(B363=0,0,E363/B363*100)</f>
        <v>0</v>
      </c>
      <c r="G363" s="334">
        <f>IF(E363=0,0,E363/C363*100)</f>
        <v>0</v>
      </c>
    </row>
    <row r="364" spans="1:7" s="332" customFormat="1" ht="19.5" customHeight="1">
      <c r="A364" s="337" t="s">
        <v>339</v>
      </c>
      <c r="B364" s="194">
        <f>B365+B366</f>
        <v>0</v>
      </c>
      <c r="C364" s="166">
        <v>140</v>
      </c>
      <c r="D364" s="194">
        <v>140</v>
      </c>
      <c r="E364" s="194">
        <f>E365+E366</f>
        <v>60</v>
      </c>
      <c r="F364" s="334">
        <f aca="true" t="shared" si="13" ref="F364:F431">IF(B364=0,0,E364/B364*100)</f>
        <v>0</v>
      </c>
      <c r="G364" s="334">
        <f aca="true" t="shared" si="14" ref="G364:G431">IF(E364=0,0,E364/C364*100)</f>
        <v>42.86</v>
      </c>
    </row>
    <row r="365" spans="1:7" s="332" customFormat="1" ht="19.5" customHeight="1">
      <c r="A365" s="337" t="s">
        <v>340</v>
      </c>
      <c r="B365" s="165"/>
      <c r="C365" s="166">
        <v>80</v>
      </c>
      <c r="D365" s="226">
        <v>80</v>
      </c>
      <c r="E365" s="194">
        <v>0</v>
      </c>
      <c r="F365" s="334">
        <f t="shared" si="13"/>
        <v>0</v>
      </c>
      <c r="G365" s="334">
        <f t="shared" si="14"/>
        <v>0</v>
      </c>
    </row>
    <row r="366" spans="1:7" s="332" customFormat="1" ht="19.5" customHeight="1">
      <c r="A366" s="337" t="s">
        <v>341</v>
      </c>
      <c r="B366" s="165"/>
      <c r="C366" s="166">
        <v>60</v>
      </c>
      <c r="D366" s="166">
        <v>60</v>
      </c>
      <c r="E366" s="191">
        <v>60</v>
      </c>
      <c r="F366" s="334">
        <f t="shared" si="13"/>
        <v>0</v>
      </c>
      <c r="G366" s="334">
        <f t="shared" si="14"/>
        <v>100</v>
      </c>
    </row>
    <row r="367" spans="1:7" s="332" customFormat="1" ht="19.5" customHeight="1">
      <c r="A367" s="346" t="s">
        <v>1269</v>
      </c>
      <c r="B367" s="165">
        <f>B368</f>
        <v>0</v>
      </c>
      <c r="C367" s="166">
        <v>178</v>
      </c>
      <c r="D367" s="165">
        <v>178</v>
      </c>
      <c r="E367" s="165">
        <f>E368</f>
        <v>178</v>
      </c>
      <c r="F367" s="334"/>
      <c r="G367" s="334"/>
    </row>
    <row r="368" spans="1:7" s="332" customFormat="1" ht="19.5" customHeight="1">
      <c r="A368" s="346" t="s">
        <v>992</v>
      </c>
      <c r="B368" s="165"/>
      <c r="C368" s="166">
        <v>178</v>
      </c>
      <c r="D368" s="166">
        <v>178</v>
      </c>
      <c r="E368" s="191">
        <v>178</v>
      </c>
      <c r="F368" s="334"/>
      <c r="G368" s="334"/>
    </row>
    <row r="369" spans="1:7" s="332" customFormat="1" ht="19.5" customHeight="1">
      <c r="A369" s="337" t="s">
        <v>342</v>
      </c>
      <c r="B369" s="194">
        <f>B370</f>
        <v>500</v>
      </c>
      <c r="C369" s="166">
        <v>6</v>
      </c>
      <c r="D369" s="194">
        <v>6</v>
      </c>
      <c r="E369" s="194">
        <f>E370</f>
        <v>6</v>
      </c>
      <c r="F369" s="334">
        <f t="shared" si="13"/>
        <v>1.2</v>
      </c>
      <c r="G369" s="334">
        <f t="shared" si="14"/>
        <v>100</v>
      </c>
    </row>
    <row r="370" spans="1:7" s="332" customFormat="1" ht="19.5" customHeight="1">
      <c r="A370" s="337" t="s">
        <v>343</v>
      </c>
      <c r="B370" s="165">
        <v>500</v>
      </c>
      <c r="C370" s="166">
        <v>6</v>
      </c>
      <c r="D370" s="166">
        <v>6</v>
      </c>
      <c r="E370" s="191">
        <v>6</v>
      </c>
      <c r="F370" s="334">
        <f t="shared" si="13"/>
        <v>1.2</v>
      </c>
      <c r="G370" s="334">
        <f t="shared" si="14"/>
        <v>100</v>
      </c>
    </row>
    <row r="371" spans="1:7" s="332" customFormat="1" ht="19.5" customHeight="1">
      <c r="A371" s="337" t="s">
        <v>582</v>
      </c>
      <c r="B371" s="194">
        <f>B372+B379+B384+B386</f>
        <v>2716</v>
      </c>
      <c r="C371" s="165">
        <v>4141</v>
      </c>
      <c r="D371" s="194">
        <v>4141</v>
      </c>
      <c r="E371" s="194">
        <f>E372+E379+E384+E386-1</f>
        <v>2030</v>
      </c>
      <c r="F371" s="334">
        <f t="shared" si="13"/>
        <v>74.74</v>
      </c>
      <c r="G371" s="334">
        <f t="shared" si="14"/>
        <v>49.02</v>
      </c>
    </row>
    <row r="372" spans="1:7" s="332" customFormat="1" ht="19.5" customHeight="1">
      <c r="A372" s="337" t="s">
        <v>172</v>
      </c>
      <c r="B372" s="194">
        <f>B373+B374+B375+B376+B377+B378-1</f>
        <v>2269</v>
      </c>
      <c r="C372" s="166">
        <v>3362</v>
      </c>
      <c r="D372" s="194">
        <v>3362</v>
      </c>
      <c r="E372" s="194">
        <f>E373+E374+E375+E376+E377+E378</f>
        <v>1407</v>
      </c>
      <c r="F372" s="334">
        <f t="shared" si="13"/>
        <v>62.01</v>
      </c>
      <c r="G372" s="334">
        <f t="shared" si="14"/>
        <v>41.85</v>
      </c>
    </row>
    <row r="373" spans="1:7" s="332" customFormat="1" ht="19.5" customHeight="1">
      <c r="A373" s="337" t="s">
        <v>344</v>
      </c>
      <c r="B373" s="165"/>
      <c r="C373" s="166">
        <v>0</v>
      </c>
      <c r="D373" s="226">
        <v>0</v>
      </c>
      <c r="E373" s="194">
        <v>0</v>
      </c>
      <c r="F373" s="334">
        <f t="shared" si="13"/>
        <v>0</v>
      </c>
      <c r="G373" s="334">
        <f t="shared" si="14"/>
        <v>0</v>
      </c>
    </row>
    <row r="374" spans="1:7" s="332" customFormat="1" ht="19.5" customHeight="1">
      <c r="A374" s="337" t="s">
        <v>174</v>
      </c>
      <c r="B374" s="165">
        <v>810</v>
      </c>
      <c r="C374" s="166">
        <v>783</v>
      </c>
      <c r="D374" s="166">
        <v>783</v>
      </c>
      <c r="E374" s="191">
        <f>231</f>
        <v>231</v>
      </c>
      <c r="F374" s="334">
        <f t="shared" si="13"/>
        <v>28.52</v>
      </c>
      <c r="G374" s="334">
        <f t="shared" si="14"/>
        <v>29.5</v>
      </c>
    </row>
    <row r="375" spans="1:7" s="332" customFormat="1" ht="19.5" customHeight="1">
      <c r="A375" s="337" t="s">
        <v>175</v>
      </c>
      <c r="B375" s="165">
        <v>537</v>
      </c>
      <c r="C375" s="166">
        <v>1131</v>
      </c>
      <c r="D375" s="166">
        <v>1131</v>
      </c>
      <c r="E375" s="191">
        <v>408</v>
      </c>
      <c r="F375" s="334">
        <f t="shared" si="13"/>
        <v>75.98</v>
      </c>
      <c r="G375" s="334">
        <f t="shared" si="14"/>
        <v>36.07</v>
      </c>
    </row>
    <row r="376" spans="1:7" s="332" customFormat="1" ht="19.5" customHeight="1">
      <c r="A376" s="337" t="s">
        <v>345</v>
      </c>
      <c r="B376" s="165">
        <v>17</v>
      </c>
      <c r="C376" s="166">
        <v>17</v>
      </c>
      <c r="D376" s="166">
        <v>17</v>
      </c>
      <c r="E376" s="191">
        <v>17</v>
      </c>
      <c r="F376" s="334">
        <f t="shared" si="13"/>
        <v>100</v>
      </c>
      <c r="G376" s="334">
        <f t="shared" si="14"/>
        <v>100</v>
      </c>
    </row>
    <row r="377" spans="1:7" s="332" customFormat="1" ht="19.5" customHeight="1">
      <c r="A377" s="337" t="s">
        <v>346</v>
      </c>
      <c r="B377" s="165">
        <v>12</v>
      </c>
      <c r="C377" s="166">
        <v>12</v>
      </c>
      <c r="D377" s="166">
        <v>12</v>
      </c>
      <c r="E377" s="191">
        <v>12</v>
      </c>
      <c r="F377" s="334">
        <f t="shared" si="13"/>
        <v>100</v>
      </c>
      <c r="G377" s="334">
        <f t="shared" si="14"/>
        <v>100</v>
      </c>
    </row>
    <row r="378" spans="1:7" s="332" customFormat="1" ht="19.5" customHeight="1">
      <c r="A378" s="337" t="s">
        <v>176</v>
      </c>
      <c r="B378" s="165">
        <v>894</v>
      </c>
      <c r="C378" s="166">
        <v>1419</v>
      </c>
      <c r="D378" s="166">
        <v>1419</v>
      </c>
      <c r="E378" s="191">
        <v>739</v>
      </c>
      <c r="F378" s="334">
        <f t="shared" si="13"/>
        <v>82.66</v>
      </c>
      <c r="G378" s="334">
        <f t="shared" si="14"/>
        <v>52.08</v>
      </c>
    </row>
    <row r="379" spans="1:7" s="332" customFormat="1" ht="19.5" customHeight="1">
      <c r="A379" s="337" t="s">
        <v>177</v>
      </c>
      <c r="B379" s="194">
        <f>B380+B381+B382+B383</f>
        <v>197</v>
      </c>
      <c r="C379" s="166">
        <v>346.2</v>
      </c>
      <c r="D379" s="194">
        <v>346</v>
      </c>
      <c r="E379" s="194">
        <f>E380+E381+E382+E383</f>
        <v>346</v>
      </c>
      <c r="F379" s="334">
        <f t="shared" si="13"/>
        <v>175.63</v>
      </c>
      <c r="G379" s="334">
        <f t="shared" si="14"/>
        <v>99.94</v>
      </c>
    </row>
    <row r="380" spans="1:7" s="332" customFormat="1" ht="19.5" customHeight="1">
      <c r="A380" s="337" t="s">
        <v>347</v>
      </c>
      <c r="B380" s="165"/>
      <c r="C380" s="166">
        <v>0</v>
      </c>
      <c r="D380" s="226">
        <v>0</v>
      </c>
      <c r="E380" s="194">
        <v>0</v>
      </c>
      <c r="F380" s="334">
        <f t="shared" si="13"/>
        <v>0</v>
      </c>
      <c r="G380" s="334">
        <f t="shared" si="14"/>
        <v>0</v>
      </c>
    </row>
    <row r="381" spans="1:7" s="332" customFormat="1" ht="19.5" customHeight="1">
      <c r="A381" s="337" t="s">
        <v>348</v>
      </c>
      <c r="B381" s="165">
        <v>61</v>
      </c>
      <c r="C381" s="166">
        <v>25</v>
      </c>
      <c r="D381" s="166">
        <v>25</v>
      </c>
      <c r="E381" s="191">
        <v>25</v>
      </c>
      <c r="F381" s="334">
        <f t="shared" si="13"/>
        <v>40.98</v>
      </c>
      <c r="G381" s="334">
        <f t="shared" si="14"/>
        <v>100</v>
      </c>
    </row>
    <row r="382" spans="1:7" s="332" customFormat="1" ht="19.5" customHeight="1">
      <c r="A382" s="337" t="s">
        <v>179</v>
      </c>
      <c r="B382" s="165"/>
      <c r="C382" s="166">
        <v>0</v>
      </c>
      <c r="D382" s="226">
        <v>0</v>
      </c>
      <c r="E382" s="194">
        <v>0</v>
      </c>
      <c r="F382" s="334">
        <f t="shared" si="13"/>
        <v>0</v>
      </c>
      <c r="G382" s="334">
        <f t="shared" si="14"/>
        <v>0</v>
      </c>
    </row>
    <row r="383" spans="1:7" s="332" customFormat="1" ht="19.5" customHeight="1">
      <c r="A383" s="337" t="s">
        <v>180</v>
      </c>
      <c r="B383" s="165">
        <v>136</v>
      </c>
      <c r="C383" s="166">
        <v>321.2</v>
      </c>
      <c r="D383" s="166">
        <v>321</v>
      </c>
      <c r="E383" s="191">
        <v>321</v>
      </c>
      <c r="F383" s="334">
        <f t="shared" si="13"/>
        <v>236.03</v>
      </c>
      <c r="G383" s="334">
        <f t="shared" si="14"/>
        <v>99.94</v>
      </c>
    </row>
    <row r="384" spans="1:7" s="332" customFormat="1" ht="19.5" customHeight="1">
      <c r="A384" s="337" t="s">
        <v>181</v>
      </c>
      <c r="B384" s="194">
        <f>B385</f>
        <v>250</v>
      </c>
      <c r="C384" s="166">
        <v>250</v>
      </c>
      <c r="D384" s="194">
        <v>250</v>
      </c>
      <c r="E384" s="194">
        <v>250</v>
      </c>
      <c r="F384" s="334">
        <f t="shared" si="13"/>
        <v>100</v>
      </c>
      <c r="G384" s="334">
        <f t="shared" si="14"/>
        <v>100</v>
      </c>
    </row>
    <row r="385" spans="1:7" s="332" customFormat="1" ht="19.5" customHeight="1">
      <c r="A385" s="337" t="s">
        <v>183</v>
      </c>
      <c r="B385" s="165">
        <v>250</v>
      </c>
      <c r="C385" s="166">
        <v>250</v>
      </c>
      <c r="D385" s="166">
        <v>250</v>
      </c>
      <c r="E385" s="191">
        <v>250</v>
      </c>
      <c r="F385" s="334">
        <f t="shared" si="13"/>
        <v>100</v>
      </c>
      <c r="G385" s="334">
        <f t="shared" si="14"/>
        <v>100</v>
      </c>
    </row>
    <row r="386" spans="1:7" s="332" customFormat="1" ht="19.5" customHeight="1">
      <c r="A386" s="337" t="s">
        <v>349</v>
      </c>
      <c r="B386" s="194">
        <f>B387+B388+B389</f>
        <v>0</v>
      </c>
      <c r="C386" s="166">
        <v>182.7</v>
      </c>
      <c r="D386" s="194">
        <v>183</v>
      </c>
      <c r="E386" s="194">
        <f>E387+E388+E389</f>
        <v>28</v>
      </c>
      <c r="F386" s="334">
        <f t="shared" si="13"/>
        <v>0</v>
      </c>
      <c r="G386" s="334">
        <f t="shared" si="14"/>
        <v>15.33</v>
      </c>
    </row>
    <row r="387" spans="1:7" s="332" customFormat="1" ht="19.5" customHeight="1">
      <c r="A387" s="337" t="s">
        <v>350</v>
      </c>
      <c r="B387" s="194">
        <v>0</v>
      </c>
      <c r="C387" s="166">
        <v>0</v>
      </c>
      <c r="D387" s="194">
        <v>0</v>
      </c>
      <c r="E387" s="194">
        <v>0</v>
      </c>
      <c r="F387" s="334">
        <f t="shared" si="13"/>
        <v>0</v>
      </c>
      <c r="G387" s="334">
        <f t="shared" si="14"/>
        <v>0</v>
      </c>
    </row>
    <row r="388" spans="1:7" s="332" customFormat="1" ht="19.5" customHeight="1">
      <c r="A388" s="337" t="s">
        <v>351</v>
      </c>
      <c r="B388" s="194">
        <v>0</v>
      </c>
      <c r="C388" s="166"/>
      <c r="D388" s="194"/>
      <c r="E388" s="194">
        <v>0</v>
      </c>
      <c r="F388" s="334">
        <f t="shared" si="13"/>
        <v>0</v>
      </c>
      <c r="G388" s="334">
        <f t="shared" si="14"/>
        <v>0</v>
      </c>
    </row>
    <row r="389" spans="1:7" s="332" customFormat="1" ht="19.5" customHeight="1">
      <c r="A389" s="337" t="s">
        <v>352</v>
      </c>
      <c r="B389" s="165"/>
      <c r="C389" s="166">
        <v>182.7</v>
      </c>
      <c r="D389" s="166">
        <v>183</v>
      </c>
      <c r="E389" s="191">
        <v>28</v>
      </c>
      <c r="F389" s="334">
        <f t="shared" si="13"/>
        <v>0</v>
      </c>
      <c r="G389" s="334">
        <f t="shared" si="14"/>
        <v>15.33</v>
      </c>
    </row>
    <row r="390" spans="1:7" s="332" customFormat="1" ht="19.5" customHeight="1">
      <c r="A390" s="337" t="s">
        <v>583</v>
      </c>
      <c r="B390" s="194">
        <f>B391+B397+B403+B405+B409+B411+B415+B423+B428+B433+B439+B441+B444+B447+B449+B452-1</f>
        <v>133487</v>
      </c>
      <c r="C390" s="165">
        <v>147977</v>
      </c>
      <c r="D390" s="194">
        <v>152870</v>
      </c>
      <c r="E390" s="194">
        <f>E391+E397+E403+E405+E409+E411+E415+E423+E428+E433+E439+E441+E444+E447+E449+E452</f>
        <v>133375</v>
      </c>
      <c r="F390" s="334">
        <f t="shared" si="13"/>
        <v>99.92</v>
      </c>
      <c r="G390" s="334">
        <f t="shared" si="14"/>
        <v>90.13</v>
      </c>
    </row>
    <row r="391" spans="1:7" s="332" customFormat="1" ht="19.5" customHeight="1">
      <c r="A391" s="337" t="s">
        <v>185</v>
      </c>
      <c r="B391" s="194">
        <f>B392+B395+B396+B393+B394</f>
        <v>398</v>
      </c>
      <c r="C391" s="166">
        <v>601</v>
      </c>
      <c r="D391" s="194">
        <v>601</v>
      </c>
      <c r="E391" s="194">
        <f>E392+E395+E396+E393+E394</f>
        <v>440</v>
      </c>
      <c r="F391" s="334">
        <f t="shared" si="13"/>
        <v>110.55</v>
      </c>
      <c r="G391" s="334">
        <f t="shared" si="14"/>
        <v>73.21</v>
      </c>
    </row>
    <row r="392" spans="1:7" s="332" customFormat="1" ht="19.5" customHeight="1">
      <c r="A392" s="164" t="s">
        <v>993</v>
      </c>
      <c r="B392" s="165">
        <v>6</v>
      </c>
      <c r="C392" s="166">
        <v>6.12</v>
      </c>
      <c r="D392" s="166">
        <v>6</v>
      </c>
      <c r="E392" s="191">
        <v>6</v>
      </c>
      <c r="F392" s="334">
        <f t="shared" si="13"/>
        <v>100</v>
      </c>
      <c r="G392" s="334">
        <f t="shared" si="14"/>
        <v>98.04</v>
      </c>
    </row>
    <row r="393" spans="1:7" s="332" customFormat="1" ht="19.5" customHeight="1">
      <c r="A393" s="164" t="s">
        <v>994</v>
      </c>
      <c r="B393" s="165"/>
      <c r="C393" s="166">
        <v>39.69</v>
      </c>
      <c r="D393" s="166">
        <v>40</v>
      </c>
      <c r="E393" s="191">
        <v>40</v>
      </c>
      <c r="F393" s="334"/>
      <c r="G393" s="334"/>
    </row>
    <row r="394" spans="1:7" s="332" customFormat="1" ht="19.5" customHeight="1">
      <c r="A394" s="164" t="s">
        <v>353</v>
      </c>
      <c r="B394" s="165">
        <v>6</v>
      </c>
      <c r="C394" s="166">
        <v>5</v>
      </c>
      <c r="D394" s="166">
        <v>5</v>
      </c>
      <c r="E394" s="191">
        <v>5</v>
      </c>
      <c r="F394" s="334"/>
      <c r="G394" s="334"/>
    </row>
    <row r="395" spans="1:7" s="332" customFormat="1" ht="19.5" customHeight="1">
      <c r="A395" s="164" t="s">
        <v>190</v>
      </c>
      <c r="B395" s="165"/>
      <c r="C395" s="166">
        <v>164</v>
      </c>
      <c r="D395" s="166">
        <v>164</v>
      </c>
      <c r="E395" s="191">
        <v>32</v>
      </c>
      <c r="F395" s="334">
        <f t="shared" si="13"/>
        <v>0</v>
      </c>
      <c r="G395" s="334">
        <f t="shared" si="14"/>
        <v>19.51</v>
      </c>
    </row>
    <row r="396" spans="1:7" s="332" customFormat="1" ht="19.5" customHeight="1">
      <c r="A396" s="164" t="s">
        <v>995</v>
      </c>
      <c r="B396" s="165">
        <v>386</v>
      </c>
      <c r="C396" s="166">
        <v>385.56</v>
      </c>
      <c r="D396" s="166">
        <v>386</v>
      </c>
      <c r="E396" s="191">
        <v>357</v>
      </c>
      <c r="F396" s="334">
        <f t="shared" si="13"/>
        <v>92.49</v>
      </c>
      <c r="G396" s="334">
        <f t="shared" si="14"/>
        <v>92.59</v>
      </c>
    </row>
    <row r="397" spans="1:7" s="332" customFormat="1" ht="19.5" customHeight="1">
      <c r="A397" s="337" t="s">
        <v>191</v>
      </c>
      <c r="B397" s="194">
        <f>B398+B399+B400+B401+B402</f>
        <v>8107</v>
      </c>
      <c r="C397" s="166">
        <v>8743</v>
      </c>
      <c r="D397" s="194">
        <v>8976</v>
      </c>
      <c r="E397" s="194">
        <f>E398+E399+E400+E401+E402</f>
        <v>7112</v>
      </c>
      <c r="F397" s="334">
        <f t="shared" si="13"/>
        <v>87.73</v>
      </c>
      <c r="G397" s="334">
        <f t="shared" si="14"/>
        <v>81.35</v>
      </c>
    </row>
    <row r="398" spans="1:7" s="332" customFormat="1" ht="19.5" customHeight="1">
      <c r="A398" s="337" t="s">
        <v>354</v>
      </c>
      <c r="B398" s="165">
        <v>74</v>
      </c>
      <c r="C398" s="166">
        <v>70</v>
      </c>
      <c r="D398" s="166">
        <v>70</v>
      </c>
      <c r="E398" s="191">
        <v>69</v>
      </c>
      <c r="F398" s="334">
        <f t="shared" si="13"/>
        <v>93.24</v>
      </c>
      <c r="G398" s="334">
        <f t="shared" si="14"/>
        <v>98.57</v>
      </c>
    </row>
    <row r="399" spans="1:7" s="332" customFormat="1" ht="19.5" customHeight="1">
      <c r="A399" s="337" t="s">
        <v>193</v>
      </c>
      <c r="B399" s="165">
        <v>504</v>
      </c>
      <c r="C399" s="166">
        <v>503.6</v>
      </c>
      <c r="D399" s="166">
        <v>504</v>
      </c>
      <c r="E399" s="191">
        <v>504</v>
      </c>
      <c r="F399" s="334">
        <f t="shared" si="13"/>
        <v>100</v>
      </c>
      <c r="G399" s="334">
        <f t="shared" si="14"/>
        <v>100.08</v>
      </c>
    </row>
    <row r="400" spans="1:7" s="332" customFormat="1" ht="19.5" customHeight="1">
      <c r="A400" s="337" t="s">
        <v>194</v>
      </c>
      <c r="B400" s="165">
        <v>586</v>
      </c>
      <c r="C400" s="166">
        <v>342</v>
      </c>
      <c r="D400" s="166">
        <v>342</v>
      </c>
      <c r="E400" s="191">
        <v>285</v>
      </c>
      <c r="F400" s="334">
        <f t="shared" si="13"/>
        <v>48.63</v>
      </c>
      <c r="G400" s="334">
        <f t="shared" si="14"/>
        <v>83.33</v>
      </c>
    </row>
    <row r="401" spans="1:7" s="332" customFormat="1" ht="19.5" customHeight="1">
      <c r="A401" s="337" t="s">
        <v>355</v>
      </c>
      <c r="B401" s="165">
        <v>6317</v>
      </c>
      <c r="C401" s="166">
        <v>7439</v>
      </c>
      <c r="D401" s="166">
        <v>7672</v>
      </c>
      <c r="E401" s="191">
        <v>5916</v>
      </c>
      <c r="F401" s="334">
        <f t="shared" si="13"/>
        <v>93.65</v>
      </c>
      <c r="G401" s="334">
        <f t="shared" si="14"/>
        <v>79.53</v>
      </c>
    </row>
    <row r="402" spans="1:7" s="332" customFormat="1" ht="19.5" customHeight="1">
      <c r="A402" s="337" t="s">
        <v>356</v>
      </c>
      <c r="B402" s="165">
        <v>626</v>
      </c>
      <c r="C402" s="166">
        <v>388</v>
      </c>
      <c r="D402" s="166">
        <v>388</v>
      </c>
      <c r="E402" s="191">
        <v>338</v>
      </c>
      <c r="F402" s="334">
        <f t="shared" si="13"/>
        <v>53.99</v>
      </c>
      <c r="G402" s="334">
        <f t="shared" si="14"/>
        <v>87.11</v>
      </c>
    </row>
    <row r="403" spans="1:7" s="332" customFormat="1" ht="19.5" customHeight="1">
      <c r="A403" s="342" t="s">
        <v>1057</v>
      </c>
      <c r="B403" s="194">
        <f>B404</f>
        <v>4694</v>
      </c>
      <c r="C403" s="166">
        <v>4773</v>
      </c>
      <c r="D403" s="194">
        <v>4856</v>
      </c>
      <c r="E403" s="194">
        <f>E404</f>
        <v>4802</v>
      </c>
      <c r="F403" s="334">
        <f t="shared" si="13"/>
        <v>102.3</v>
      </c>
      <c r="G403" s="334">
        <f t="shared" si="14"/>
        <v>100.61</v>
      </c>
    </row>
    <row r="404" spans="1:7" s="332" customFormat="1" ht="19.5" customHeight="1">
      <c r="A404" s="342" t="s">
        <v>1058</v>
      </c>
      <c r="B404" s="165">
        <v>4694</v>
      </c>
      <c r="C404" s="166">
        <v>4773</v>
      </c>
      <c r="D404" s="166">
        <v>4856</v>
      </c>
      <c r="E404" s="191">
        <v>4802</v>
      </c>
      <c r="F404" s="334">
        <f t="shared" si="13"/>
        <v>102.3</v>
      </c>
      <c r="G404" s="334">
        <f t="shared" si="14"/>
        <v>100.61</v>
      </c>
    </row>
    <row r="405" spans="1:7" s="332" customFormat="1" ht="19.5" customHeight="1">
      <c r="A405" s="337" t="s">
        <v>357</v>
      </c>
      <c r="B405" s="194">
        <f>B406+B407+B408</f>
        <v>5</v>
      </c>
      <c r="C405" s="166">
        <v>10159</v>
      </c>
      <c r="D405" s="194">
        <v>13104</v>
      </c>
      <c r="E405" s="194">
        <f>E406+E407+E408</f>
        <v>13083</v>
      </c>
      <c r="F405" s="334">
        <f t="shared" si="13"/>
        <v>261660</v>
      </c>
      <c r="G405" s="334">
        <f t="shared" si="14"/>
        <v>128.78</v>
      </c>
    </row>
    <row r="406" spans="1:7" s="332" customFormat="1" ht="19.5" customHeight="1">
      <c r="A406" s="337" t="s">
        <v>358</v>
      </c>
      <c r="B406" s="165">
        <v>5</v>
      </c>
      <c r="C406" s="166">
        <v>7</v>
      </c>
      <c r="D406" s="166">
        <v>7</v>
      </c>
      <c r="E406" s="191">
        <v>7</v>
      </c>
      <c r="F406" s="334">
        <f t="shared" si="13"/>
        <v>140</v>
      </c>
      <c r="G406" s="334">
        <f t="shared" si="14"/>
        <v>100</v>
      </c>
    </row>
    <row r="407" spans="1:7" s="332" customFormat="1" ht="19.5" customHeight="1">
      <c r="A407" s="337" t="s">
        <v>359</v>
      </c>
      <c r="B407" s="165"/>
      <c r="C407" s="166">
        <v>10108</v>
      </c>
      <c r="D407" s="166">
        <v>13053</v>
      </c>
      <c r="E407" s="191">
        <v>13053</v>
      </c>
      <c r="F407" s="334">
        <f t="shared" si="13"/>
        <v>0</v>
      </c>
      <c r="G407" s="334">
        <f t="shared" si="14"/>
        <v>129.14</v>
      </c>
    </row>
    <row r="408" spans="1:7" s="332" customFormat="1" ht="19.5" customHeight="1">
      <c r="A408" s="164" t="s">
        <v>996</v>
      </c>
      <c r="B408" s="165"/>
      <c r="C408" s="166">
        <v>44</v>
      </c>
      <c r="D408" s="166">
        <v>44</v>
      </c>
      <c r="E408" s="191">
        <v>23</v>
      </c>
      <c r="F408" s="334"/>
      <c r="G408" s="334"/>
    </row>
    <row r="409" spans="1:7" s="332" customFormat="1" ht="19.5" customHeight="1">
      <c r="A409" s="337" t="s">
        <v>360</v>
      </c>
      <c r="B409" s="194">
        <f>B410</f>
        <v>100000</v>
      </c>
      <c r="C409" s="166">
        <v>80000</v>
      </c>
      <c r="D409" s="194">
        <v>80000</v>
      </c>
      <c r="E409" s="194">
        <f>E410</f>
        <v>80000</v>
      </c>
      <c r="F409" s="334">
        <f t="shared" si="13"/>
        <v>80</v>
      </c>
      <c r="G409" s="334">
        <f t="shared" si="14"/>
        <v>100</v>
      </c>
    </row>
    <row r="410" spans="1:7" s="332" customFormat="1" ht="19.5" customHeight="1">
      <c r="A410" s="337" t="s">
        <v>361</v>
      </c>
      <c r="B410" s="165">
        <v>100000</v>
      </c>
      <c r="C410" s="166">
        <v>80000</v>
      </c>
      <c r="D410" s="166">
        <v>80000</v>
      </c>
      <c r="E410" s="191">
        <v>80000</v>
      </c>
      <c r="F410" s="334">
        <f t="shared" si="13"/>
        <v>80</v>
      </c>
      <c r="G410" s="334">
        <f t="shared" si="14"/>
        <v>100</v>
      </c>
    </row>
    <row r="411" spans="1:7" s="332" customFormat="1" ht="19.5" customHeight="1">
      <c r="A411" s="337" t="s">
        <v>362</v>
      </c>
      <c r="B411" s="194">
        <f>B413+B414</f>
        <v>537</v>
      </c>
      <c r="C411" s="166">
        <v>6159</v>
      </c>
      <c r="D411" s="194">
        <v>7167</v>
      </c>
      <c r="E411" s="194">
        <f>E413+E414</f>
        <v>5113</v>
      </c>
      <c r="F411" s="334">
        <f t="shared" si="13"/>
        <v>952.14</v>
      </c>
      <c r="G411" s="334">
        <f>IF(E411=0,0,E411/C411*100)</f>
        <v>83.02</v>
      </c>
    </row>
    <row r="412" spans="1:7" s="332" customFormat="1" ht="19.5" customHeight="1">
      <c r="A412" s="337" t="s">
        <v>363</v>
      </c>
      <c r="B412" s="194">
        <v>0</v>
      </c>
      <c r="C412" s="166"/>
      <c r="D412" s="194"/>
      <c r="E412" s="194">
        <v>0</v>
      </c>
      <c r="F412" s="334">
        <f t="shared" si="13"/>
        <v>0</v>
      </c>
      <c r="G412" s="334">
        <f t="shared" si="14"/>
        <v>0</v>
      </c>
    </row>
    <row r="413" spans="1:7" s="332" customFormat="1" ht="19.5" customHeight="1">
      <c r="A413" s="337" t="s">
        <v>364</v>
      </c>
      <c r="B413" s="165">
        <v>495</v>
      </c>
      <c r="C413" s="166">
        <v>687</v>
      </c>
      <c r="D413" s="166">
        <v>687</v>
      </c>
      <c r="E413" s="191">
        <v>386</v>
      </c>
      <c r="F413" s="334">
        <f t="shared" si="13"/>
        <v>77.98</v>
      </c>
      <c r="G413" s="334">
        <f t="shared" si="14"/>
        <v>56.19</v>
      </c>
    </row>
    <row r="414" spans="1:7" s="332" customFormat="1" ht="19.5" customHeight="1">
      <c r="A414" s="337" t="s">
        <v>365</v>
      </c>
      <c r="B414" s="165">
        <v>42</v>
      </c>
      <c r="C414" s="166">
        <v>5471</v>
      </c>
      <c r="D414" s="166">
        <v>6479</v>
      </c>
      <c r="E414" s="191">
        <v>4727</v>
      </c>
      <c r="F414" s="334">
        <f t="shared" si="13"/>
        <v>11254.76</v>
      </c>
      <c r="G414" s="334">
        <f t="shared" si="14"/>
        <v>86.4</v>
      </c>
    </row>
    <row r="415" spans="1:7" s="332" customFormat="1" ht="19.5" customHeight="1">
      <c r="A415" s="337" t="s">
        <v>195</v>
      </c>
      <c r="B415" s="194">
        <f>B416+B417+B418+B419+B420+B421+B422</f>
        <v>1346</v>
      </c>
      <c r="C415" s="166">
        <v>3356</v>
      </c>
      <c r="D415" s="194">
        <v>3378</v>
      </c>
      <c r="E415" s="194">
        <f>E416+E417+E418+E419+E420+E421+E422</f>
        <v>1889</v>
      </c>
      <c r="F415" s="334">
        <f t="shared" si="13"/>
        <v>140.34</v>
      </c>
      <c r="G415" s="334">
        <f t="shared" si="14"/>
        <v>56.29</v>
      </c>
    </row>
    <row r="416" spans="1:7" s="332" customFormat="1" ht="19.5" customHeight="1">
      <c r="A416" s="337" t="s">
        <v>366</v>
      </c>
      <c r="B416" s="165">
        <v>31</v>
      </c>
      <c r="C416" s="166">
        <v>54</v>
      </c>
      <c r="D416" s="166">
        <v>54</v>
      </c>
      <c r="E416" s="191">
        <v>50</v>
      </c>
      <c r="F416" s="334">
        <f t="shared" si="13"/>
        <v>161.29</v>
      </c>
      <c r="G416" s="334">
        <f t="shared" si="14"/>
        <v>92.59</v>
      </c>
    </row>
    <row r="417" spans="1:7" s="332" customFormat="1" ht="19.5" customHeight="1">
      <c r="A417" s="337" t="s">
        <v>367</v>
      </c>
      <c r="B417" s="165">
        <v>160</v>
      </c>
      <c r="C417" s="166">
        <v>233</v>
      </c>
      <c r="D417" s="166">
        <v>233</v>
      </c>
      <c r="E417" s="191">
        <v>208</v>
      </c>
      <c r="F417" s="334">
        <f t="shared" si="13"/>
        <v>130</v>
      </c>
      <c r="G417" s="334">
        <f t="shared" si="14"/>
        <v>89.27</v>
      </c>
    </row>
    <row r="418" spans="1:7" s="332" customFormat="1" ht="19.5" customHeight="1">
      <c r="A418" s="337" t="s">
        <v>368</v>
      </c>
      <c r="B418" s="165">
        <v>489</v>
      </c>
      <c r="C418" s="166">
        <v>2067</v>
      </c>
      <c r="D418" s="166">
        <v>2086</v>
      </c>
      <c r="E418" s="191">
        <v>725</v>
      </c>
      <c r="F418" s="334">
        <f t="shared" si="13"/>
        <v>148.26</v>
      </c>
      <c r="G418" s="334">
        <f t="shared" si="14"/>
        <v>35.07</v>
      </c>
    </row>
    <row r="419" spans="1:7" s="332" customFormat="1" ht="19.5" customHeight="1">
      <c r="A419" s="337" t="s">
        <v>196</v>
      </c>
      <c r="B419" s="194">
        <v>0</v>
      </c>
      <c r="C419" s="166"/>
      <c r="D419" s="200"/>
      <c r="E419" s="191">
        <v>0</v>
      </c>
      <c r="F419" s="334">
        <f t="shared" si="13"/>
        <v>0</v>
      </c>
      <c r="G419" s="334">
        <f t="shared" si="14"/>
        <v>0</v>
      </c>
    </row>
    <row r="420" spans="1:7" s="332" customFormat="1" ht="19.5" customHeight="1">
      <c r="A420" s="337" t="s">
        <v>369</v>
      </c>
      <c r="B420" s="165">
        <v>430</v>
      </c>
      <c r="C420" s="166">
        <v>751</v>
      </c>
      <c r="D420" s="166">
        <v>751</v>
      </c>
      <c r="E420" s="191">
        <v>706</v>
      </c>
      <c r="F420" s="334">
        <f t="shared" si="13"/>
        <v>164.19</v>
      </c>
      <c r="G420" s="334">
        <f t="shared" si="14"/>
        <v>94.01</v>
      </c>
    </row>
    <row r="421" spans="1:7" s="332" customFormat="1" ht="19.5" customHeight="1">
      <c r="A421" s="337" t="s">
        <v>370</v>
      </c>
      <c r="B421" s="165">
        <v>18</v>
      </c>
      <c r="C421" s="166">
        <v>18.3675</v>
      </c>
      <c r="D421" s="166">
        <v>18</v>
      </c>
      <c r="E421" s="191">
        <v>2</v>
      </c>
      <c r="F421" s="334">
        <f t="shared" si="13"/>
        <v>11.11</v>
      </c>
      <c r="G421" s="334">
        <f t="shared" si="14"/>
        <v>10.89</v>
      </c>
    </row>
    <row r="422" spans="1:7" s="332" customFormat="1" ht="19.5" customHeight="1">
      <c r="A422" s="337" t="s">
        <v>371</v>
      </c>
      <c r="B422" s="165">
        <v>218</v>
      </c>
      <c r="C422" s="166">
        <v>233</v>
      </c>
      <c r="D422" s="166">
        <v>235</v>
      </c>
      <c r="E422" s="191">
        <v>198</v>
      </c>
      <c r="F422" s="334">
        <f t="shared" si="13"/>
        <v>90.83</v>
      </c>
      <c r="G422" s="334">
        <f t="shared" si="14"/>
        <v>84.98</v>
      </c>
    </row>
    <row r="423" spans="1:7" s="332" customFormat="1" ht="19.5" customHeight="1">
      <c r="A423" s="337" t="s">
        <v>197</v>
      </c>
      <c r="B423" s="194">
        <f>B424+B425+B426+B427</f>
        <v>917</v>
      </c>
      <c r="C423" s="166">
        <v>1453</v>
      </c>
      <c r="D423" s="194">
        <v>1842</v>
      </c>
      <c r="E423" s="194">
        <f>E424+E425+E426+E427</f>
        <v>1695</v>
      </c>
      <c r="F423" s="334">
        <f t="shared" si="13"/>
        <v>184.84</v>
      </c>
      <c r="G423" s="334">
        <f t="shared" si="14"/>
        <v>116.66</v>
      </c>
    </row>
    <row r="424" spans="1:7" s="332" customFormat="1" ht="19.5" customHeight="1">
      <c r="A424" s="337" t="s">
        <v>372</v>
      </c>
      <c r="B424" s="165">
        <v>720</v>
      </c>
      <c r="C424" s="166">
        <v>1099</v>
      </c>
      <c r="D424" s="166">
        <v>1169</v>
      </c>
      <c r="E424" s="191">
        <v>1043</v>
      </c>
      <c r="F424" s="334">
        <f t="shared" si="13"/>
        <v>144.86</v>
      </c>
      <c r="G424" s="334">
        <f t="shared" si="14"/>
        <v>94.9</v>
      </c>
    </row>
    <row r="425" spans="1:7" s="332" customFormat="1" ht="19.5" customHeight="1">
      <c r="A425" s="337" t="s">
        <v>373</v>
      </c>
      <c r="B425" s="165">
        <v>157</v>
      </c>
      <c r="C425" s="166">
        <v>302</v>
      </c>
      <c r="D425" s="166">
        <v>594</v>
      </c>
      <c r="E425" s="191">
        <v>592</v>
      </c>
      <c r="F425" s="334">
        <f t="shared" si="13"/>
        <v>377.07</v>
      </c>
      <c r="G425" s="334">
        <f t="shared" si="14"/>
        <v>196.03</v>
      </c>
    </row>
    <row r="426" spans="1:7" s="332" customFormat="1" ht="19.5" customHeight="1">
      <c r="A426" s="337" t="s">
        <v>198</v>
      </c>
      <c r="B426" s="165"/>
      <c r="C426" s="166">
        <v>8.1</v>
      </c>
      <c r="D426" s="166">
        <v>20</v>
      </c>
      <c r="E426" s="191">
        <v>20</v>
      </c>
      <c r="F426" s="334">
        <f t="shared" si="13"/>
        <v>0</v>
      </c>
      <c r="G426" s="334">
        <f t="shared" si="14"/>
        <v>246.91</v>
      </c>
    </row>
    <row r="427" spans="1:7" s="332" customFormat="1" ht="19.5" customHeight="1">
      <c r="A427" s="337" t="s">
        <v>374</v>
      </c>
      <c r="B427" s="165">
        <v>40</v>
      </c>
      <c r="C427" s="166">
        <v>43.1</v>
      </c>
      <c r="D427" s="166">
        <v>60</v>
      </c>
      <c r="E427" s="191">
        <v>40</v>
      </c>
      <c r="F427" s="334">
        <f t="shared" si="13"/>
        <v>100</v>
      </c>
      <c r="G427" s="334">
        <f t="shared" si="14"/>
        <v>92.81</v>
      </c>
    </row>
    <row r="428" spans="1:7" s="332" customFormat="1" ht="19.5" customHeight="1">
      <c r="A428" s="337" t="s">
        <v>199</v>
      </c>
      <c r="B428" s="194">
        <f>B429+B430+B431+B432</f>
        <v>6295</v>
      </c>
      <c r="C428" s="166">
        <v>6223</v>
      </c>
      <c r="D428" s="194">
        <v>6223</v>
      </c>
      <c r="E428" s="194">
        <f>E429+E430+E431+E432</f>
        <v>6220</v>
      </c>
      <c r="F428" s="334">
        <f t="shared" si="13"/>
        <v>98.81</v>
      </c>
      <c r="G428" s="334">
        <f t="shared" si="14"/>
        <v>99.95</v>
      </c>
    </row>
    <row r="429" spans="1:7" s="332" customFormat="1" ht="19.5" customHeight="1">
      <c r="A429" s="337" t="s">
        <v>375</v>
      </c>
      <c r="B429" s="165"/>
      <c r="C429" s="166">
        <v>2</v>
      </c>
      <c r="D429" s="226">
        <v>2</v>
      </c>
      <c r="E429" s="194">
        <v>0</v>
      </c>
      <c r="F429" s="334">
        <f t="shared" si="13"/>
        <v>0</v>
      </c>
      <c r="G429" s="334">
        <f t="shared" si="14"/>
        <v>0</v>
      </c>
    </row>
    <row r="430" spans="1:7" s="332" customFormat="1" ht="19.5" customHeight="1">
      <c r="A430" s="337" t="s">
        <v>376</v>
      </c>
      <c r="B430" s="165"/>
      <c r="C430" s="166">
        <v>1.9</v>
      </c>
      <c r="D430" s="166">
        <v>2</v>
      </c>
      <c r="E430" s="191">
        <v>2</v>
      </c>
      <c r="F430" s="334">
        <f t="shared" si="13"/>
        <v>0</v>
      </c>
      <c r="G430" s="334">
        <f t="shared" si="14"/>
        <v>105.26</v>
      </c>
    </row>
    <row r="431" spans="1:7" s="332" customFormat="1" ht="19.5" customHeight="1">
      <c r="A431" s="337" t="s">
        <v>200</v>
      </c>
      <c r="B431" s="165">
        <v>109</v>
      </c>
      <c r="C431" s="166">
        <v>47.43</v>
      </c>
      <c r="D431" s="166">
        <v>47</v>
      </c>
      <c r="E431" s="191">
        <v>46</v>
      </c>
      <c r="F431" s="334">
        <f t="shared" si="13"/>
        <v>42.2</v>
      </c>
      <c r="G431" s="334">
        <f t="shared" si="14"/>
        <v>96.99</v>
      </c>
    </row>
    <row r="432" spans="1:7" s="332" customFormat="1" ht="19.5" customHeight="1">
      <c r="A432" s="337" t="s">
        <v>377</v>
      </c>
      <c r="B432" s="165">
        <v>6186</v>
      </c>
      <c r="C432" s="166">
        <v>6172</v>
      </c>
      <c r="D432" s="166">
        <v>6172</v>
      </c>
      <c r="E432" s="191">
        <v>6172</v>
      </c>
      <c r="F432" s="334">
        <f aca="true" t="shared" si="15" ref="F432:F506">IF(B432=0,0,E432/B432*100)</f>
        <v>99.77</v>
      </c>
      <c r="G432" s="334">
        <f aca="true" t="shared" si="16" ref="G432:G506">IF(E432=0,0,E432/C432*100)</f>
        <v>100</v>
      </c>
    </row>
    <row r="433" spans="1:7" s="332" customFormat="1" ht="19.5" customHeight="1">
      <c r="A433" s="337" t="s">
        <v>201</v>
      </c>
      <c r="B433" s="194">
        <f>B434+B435+B436+B438+B437</f>
        <v>4540</v>
      </c>
      <c r="C433" s="166">
        <v>11573</v>
      </c>
      <c r="D433" s="194">
        <v>11785</v>
      </c>
      <c r="E433" s="194">
        <f>E434+E435+E436+E438+E437</f>
        <v>3997</v>
      </c>
      <c r="F433" s="334">
        <f t="shared" si="15"/>
        <v>88.04</v>
      </c>
      <c r="G433" s="334">
        <f t="shared" si="16"/>
        <v>34.54</v>
      </c>
    </row>
    <row r="434" spans="1:7" s="332" customFormat="1" ht="19.5" customHeight="1">
      <c r="A434" s="337" t="s">
        <v>378</v>
      </c>
      <c r="B434" s="165">
        <v>303</v>
      </c>
      <c r="C434" s="166">
        <v>136</v>
      </c>
      <c r="D434" s="166">
        <v>136</v>
      </c>
      <c r="E434" s="191">
        <v>132</v>
      </c>
      <c r="F434" s="334">
        <f t="shared" si="15"/>
        <v>43.56</v>
      </c>
      <c r="G434" s="334">
        <f t="shared" si="16"/>
        <v>97.06</v>
      </c>
    </row>
    <row r="435" spans="1:7" s="332" customFormat="1" ht="19.5" customHeight="1">
      <c r="A435" s="337" t="s">
        <v>379</v>
      </c>
      <c r="B435" s="165">
        <v>3557</v>
      </c>
      <c r="C435" s="166">
        <v>4089</v>
      </c>
      <c r="D435" s="166">
        <v>4138</v>
      </c>
      <c r="E435" s="191">
        <v>3223</v>
      </c>
      <c r="F435" s="334">
        <f t="shared" si="15"/>
        <v>90.61</v>
      </c>
      <c r="G435" s="334">
        <f t="shared" si="16"/>
        <v>78.82</v>
      </c>
    </row>
    <row r="436" spans="1:7" s="332" customFormat="1" ht="19.5" customHeight="1">
      <c r="A436" s="337" t="s">
        <v>380</v>
      </c>
      <c r="B436" s="165">
        <v>25</v>
      </c>
      <c r="C436" s="166">
        <v>8</v>
      </c>
      <c r="D436" s="166">
        <v>8</v>
      </c>
      <c r="E436" s="191">
        <v>5</v>
      </c>
      <c r="F436" s="334">
        <f t="shared" si="15"/>
        <v>20</v>
      </c>
      <c r="G436" s="334">
        <f t="shared" si="16"/>
        <v>62.5</v>
      </c>
    </row>
    <row r="437" spans="1:7" s="332" customFormat="1" ht="19.5" customHeight="1">
      <c r="A437" s="164" t="s">
        <v>997</v>
      </c>
      <c r="B437" s="165"/>
      <c r="C437" s="166">
        <v>523.9</v>
      </c>
      <c r="D437" s="166">
        <v>524</v>
      </c>
      <c r="E437" s="191">
        <v>64</v>
      </c>
      <c r="F437" s="334"/>
      <c r="G437" s="334"/>
    </row>
    <row r="438" spans="1:7" s="332" customFormat="1" ht="19.5" customHeight="1">
      <c r="A438" s="337" t="s">
        <v>203</v>
      </c>
      <c r="B438" s="165">
        <v>655</v>
      </c>
      <c r="C438" s="166">
        <v>6816</v>
      </c>
      <c r="D438" s="166">
        <v>6979</v>
      </c>
      <c r="E438" s="191">
        <v>573</v>
      </c>
      <c r="F438" s="334">
        <f t="shared" si="15"/>
        <v>87.48</v>
      </c>
      <c r="G438" s="334">
        <f t="shared" si="16"/>
        <v>8.41</v>
      </c>
    </row>
    <row r="439" spans="1:7" s="332" customFormat="1" ht="19.5" customHeight="1">
      <c r="A439" s="337" t="s">
        <v>204</v>
      </c>
      <c r="B439" s="194">
        <f>B440</f>
        <v>103</v>
      </c>
      <c r="C439" s="166">
        <v>103</v>
      </c>
      <c r="D439" s="194">
        <v>103</v>
      </c>
      <c r="E439" s="194">
        <f>E440</f>
        <v>90</v>
      </c>
      <c r="F439" s="334">
        <f t="shared" si="15"/>
        <v>87.38</v>
      </c>
      <c r="G439" s="334">
        <f t="shared" si="16"/>
        <v>87.38</v>
      </c>
    </row>
    <row r="440" spans="1:7" s="332" customFormat="1" ht="19.5" customHeight="1">
      <c r="A440" s="337" t="s">
        <v>381</v>
      </c>
      <c r="B440" s="194">
        <v>103</v>
      </c>
      <c r="C440" s="166">
        <v>103</v>
      </c>
      <c r="D440" s="200">
        <v>103</v>
      </c>
      <c r="E440" s="191">
        <v>90</v>
      </c>
      <c r="F440" s="334">
        <f t="shared" si="15"/>
        <v>87.38</v>
      </c>
      <c r="G440" s="334">
        <f t="shared" si="16"/>
        <v>87.38</v>
      </c>
    </row>
    <row r="441" spans="1:7" s="332" customFormat="1" ht="19.5" customHeight="1">
      <c r="A441" s="337" t="s">
        <v>382</v>
      </c>
      <c r="B441" s="194">
        <f>B442+B443</f>
        <v>5375</v>
      </c>
      <c r="C441" s="166">
        <v>10964</v>
      </c>
      <c r="D441" s="194">
        <v>10964</v>
      </c>
      <c r="E441" s="194">
        <f>E442+E443</f>
        <v>5287</v>
      </c>
      <c r="F441" s="334">
        <f t="shared" si="15"/>
        <v>98.36</v>
      </c>
      <c r="G441" s="334">
        <f t="shared" si="16"/>
        <v>48.22</v>
      </c>
    </row>
    <row r="442" spans="1:7" s="332" customFormat="1" ht="19.5" customHeight="1">
      <c r="A442" s="337" t="s">
        <v>383</v>
      </c>
      <c r="B442" s="165">
        <v>3161</v>
      </c>
      <c r="C442" s="166">
        <v>8711</v>
      </c>
      <c r="D442" s="166">
        <v>8711</v>
      </c>
      <c r="E442" s="191">
        <v>3067</v>
      </c>
      <c r="F442" s="334">
        <f t="shared" si="15"/>
        <v>97.03</v>
      </c>
      <c r="G442" s="334">
        <f t="shared" si="16"/>
        <v>35.21</v>
      </c>
    </row>
    <row r="443" spans="1:7" s="332" customFormat="1" ht="19.5" customHeight="1">
      <c r="A443" s="337" t="s">
        <v>384</v>
      </c>
      <c r="B443" s="165">
        <v>2214</v>
      </c>
      <c r="C443" s="166">
        <v>2253</v>
      </c>
      <c r="D443" s="166">
        <v>2253</v>
      </c>
      <c r="E443" s="191">
        <v>2220</v>
      </c>
      <c r="F443" s="334">
        <f t="shared" si="15"/>
        <v>100.27</v>
      </c>
      <c r="G443" s="334">
        <f t="shared" si="16"/>
        <v>98.54</v>
      </c>
    </row>
    <row r="444" spans="1:7" s="332" customFormat="1" ht="19.5" customHeight="1">
      <c r="A444" s="337" t="s">
        <v>385</v>
      </c>
      <c r="B444" s="194">
        <f>B445+B446</f>
        <v>500</v>
      </c>
      <c r="C444" s="166">
        <v>506</v>
      </c>
      <c r="D444" s="194">
        <v>506</v>
      </c>
      <c r="E444" s="194">
        <f>E445+E446</f>
        <v>500</v>
      </c>
      <c r="F444" s="334">
        <f t="shared" si="15"/>
        <v>100</v>
      </c>
      <c r="G444" s="334">
        <f t="shared" si="16"/>
        <v>98.81</v>
      </c>
    </row>
    <row r="445" spans="1:7" s="332" customFormat="1" ht="19.5" customHeight="1">
      <c r="A445" s="337" t="s">
        <v>386</v>
      </c>
      <c r="B445" s="165">
        <v>500</v>
      </c>
      <c r="C445" s="166">
        <v>506</v>
      </c>
      <c r="D445" s="166">
        <v>506</v>
      </c>
      <c r="E445" s="191">
        <v>500</v>
      </c>
      <c r="F445" s="334">
        <f t="shared" si="15"/>
        <v>100</v>
      </c>
      <c r="G445" s="334">
        <f t="shared" si="16"/>
        <v>98.81</v>
      </c>
    </row>
    <row r="446" spans="1:7" s="332" customFormat="1" ht="19.5" customHeight="1">
      <c r="A446" s="337" t="s">
        <v>387</v>
      </c>
      <c r="B446" s="194">
        <v>0</v>
      </c>
      <c r="C446" s="166"/>
      <c r="D446" s="194"/>
      <c r="E446" s="194">
        <v>0</v>
      </c>
      <c r="F446" s="334">
        <f t="shared" si="15"/>
        <v>0</v>
      </c>
      <c r="G446" s="334">
        <f t="shared" si="16"/>
        <v>0</v>
      </c>
    </row>
    <row r="447" spans="1:7" s="332" customFormat="1" ht="19.5" customHeight="1">
      <c r="A447" s="337" t="s">
        <v>388</v>
      </c>
      <c r="B447" s="194">
        <f>B448</f>
        <v>0</v>
      </c>
      <c r="C447" s="166">
        <v>66.3</v>
      </c>
      <c r="D447" s="194">
        <v>66</v>
      </c>
      <c r="E447" s="194">
        <f>E448</f>
        <v>0</v>
      </c>
      <c r="F447" s="334">
        <f t="shared" si="15"/>
        <v>0</v>
      </c>
      <c r="G447" s="334">
        <f t="shared" si="16"/>
        <v>0</v>
      </c>
    </row>
    <row r="448" spans="1:7" s="332" customFormat="1" ht="19.5" customHeight="1">
      <c r="A448" s="337" t="s">
        <v>389</v>
      </c>
      <c r="B448" s="165"/>
      <c r="C448" s="166">
        <v>66.3</v>
      </c>
      <c r="D448" s="226">
        <v>66</v>
      </c>
      <c r="E448" s="194">
        <v>0</v>
      </c>
      <c r="F448" s="334">
        <f t="shared" si="15"/>
        <v>0</v>
      </c>
      <c r="G448" s="334">
        <f t="shared" si="16"/>
        <v>0</v>
      </c>
    </row>
    <row r="449" spans="1:7" s="332" customFormat="1" ht="19.5" customHeight="1">
      <c r="A449" s="337" t="s">
        <v>390</v>
      </c>
      <c r="B449" s="194">
        <f>B450+B451</f>
        <v>491</v>
      </c>
      <c r="C449" s="166">
        <v>2940</v>
      </c>
      <c r="D449" s="194">
        <v>2940</v>
      </c>
      <c r="E449" s="194">
        <f>E450+E451</f>
        <v>2931</v>
      </c>
      <c r="F449" s="334">
        <f t="shared" si="15"/>
        <v>596.95</v>
      </c>
      <c r="G449" s="334">
        <f t="shared" si="16"/>
        <v>99.69</v>
      </c>
    </row>
    <row r="450" spans="1:7" s="332" customFormat="1" ht="19.5" customHeight="1">
      <c r="A450" s="337" t="s">
        <v>391</v>
      </c>
      <c r="B450" s="165">
        <v>170</v>
      </c>
      <c r="C450" s="166">
        <v>181.26</v>
      </c>
      <c r="D450" s="166">
        <v>181</v>
      </c>
      <c r="E450" s="191">
        <v>181</v>
      </c>
      <c r="F450" s="334">
        <f t="shared" si="15"/>
        <v>106.47</v>
      </c>
      <c r="G450" s="334">
        <f t="shared" si="16"/>
        <v>99.86</v>
      </c>
    </row>
    <row r="451" spans="1:7" s="332" customFormat="1" ht="19.5" customHeight="1">
      <c r="A451" s="337" t="s">
        <v>392</v>
      </c>
      <c r="B451" s="165">
        <v>321</v>
      </c>
      <c r="C451" s="166">
        <v>2759</v>
      </c>
      <c r="D451" s="166">
        <v>2759</v>
      </c>
      <c r="E451" s="191">
        <v>2750</v>
      </c>
      <c r="F451" s="334">
        <f t="shared" si="15"/>
        <v>856.7</v>
      </c>
      <c r="G451" s="334">
        <f t="shared" si="16"/>
        <v>99.67</v>
      </c>
    </row>
    <row r="452" spans="1:7" s="332" customFormat="1" ht="19.5" customHeight="1">
      <c r="A452" s="337" t="s">
        <v>393</v>
      </c>
      <c r="B452" s="194">
        <f>B453</f>
        <v>180</v>
      </c>
      <c r="C452" s="166">
        <v>356.82</v>
      </c>
      <c r="D452" s="194">
        <v>357</v>
      </c>
      <c r="E452" s="194">
        <f>E453</f>
        <v>216</v>
      </c>
      <c r="F452" s="334">
        <f t="shared" si="15"/>
        <v>120</v>
      </c>
      <c r="G452" s="334">
        <f t="shared" si="16"/>
        <v>60.53</v>
      </c>
    </row>
    <row r="453" spans="1:7" s="332" customFormat="1" ht="19.5" customHeight="1">
      <c r="A453" s="337" t="s">
        <v>394</v>
      </c>
      <c r="B453" s="165">
        <v>180</v>
      </c>
      <c r="C453" s="166">
        <v>356.82</v>
      </c>
      <c r="D453" s="166">
        <v>357</v>
      </c>
      <c r="E453" s="191">
        <v>216</v>
      </c>
      <c r="F453" s="334">
        <f t="shared" si="15"/>
        <v>120</v>
      </c>
      <c r="G453" s="334">
        <f t="shared" si="16"/>
        <v>60.53</v>
      </c>
    </row>
    <row r="454" spans="1:7" s="332" customFormat="1" ht="19.5" customHeight="1">
      <c r="A454" s="337" t="s">
        <v>584</v>
      </c>
      <c r="B454" s="194">
        <f>B455+B458+B461+B465+B472+B475+B478++B482+B484+B488+B491+B493-3</f>
        <v>44539</v>
      </c>
      <c r="C454" s="165">
        <v>43749</v>
      </c>
      <c r="D454" s="194">
        <v>43774</v>
      </c>
      <c r="E454" s="194">
        <f>E455+E458+E461+E465+E472+E475+E478++E482+E484+E488+E491+E493-2</f>
        <v>37434</v>
      </c>
      <c r="F454" s="334">
        <f t="shared" si="15"/>
        <v>84.05</v>
      </c>
      <c r="G454" s="334">
        <f t="shared" si="16"/>
        <v>85.57</v>
      </c>
    </row>
    <row r="455" spans="1:7" s="332" customFormat="1" ht="19.5" customHeight="1">
      <c r="A455" s="337" t="s">
        <v>207</v>
      </c>
      <c r="B455" s="194">
        <f>B456+B457</f>
        <v>267</v>
      </c>
      <c r="C455" s="166">
        <v>167</v>
      </c>
      <c r="D455" s="194">
        <v>167</v>
      </c>
      <c r="E455" s="194">
        <f>E456+E457</f>
        <v>134</v>
      </c>
      <c r="F455" s="334">
        <f t="shared" si="15"/>
        <v>50.19</v>
      </c>
      <c r="G455" s="334">
        <f t="shared" si="16"/>
        <v>80.24</v>
      </c>
    </row>
    <row r="456" spans="1:7" s="332" customFormat="1" ht="19.5" customHeight="1">
      <c r="A456" s="337" t="s">
        <v>395</v>
      </c>
      <c r="B456" s="165">
        <v>267</v>
      </c>
      <c r="C456" s="166">
        <v>167</v>
      </c>
      <c r="D456" s="166">
        <v>167</v>
      </c>
      <c r="E456" s="191">
        <v>134</v>
      </c>
      <c r="F456" s="334">
        <f t="shared" si="15"/>
        <v>50.19</v>
      </c>
      <c r="G456" s="334">
        <f t="shared" si="16"/>
        <v>80.24</v>
      </c>
    </row>
    <row r="457" spans="1:7" s="332" customFormat="1" ht="19.5" customHeight="1">
      <c r="A457" s="337" t="s">
        <v>396</v>
      </c>
      <c r="B457" s="194">
        <v>0</v>
      </c>
      <c r="C457" s="166"/>
      <c r="D457" s="194"/>
      <c r="E457" s="194">
        <v>0</v>
      </c>
      <c r="F457" s="334">
        <f t="shared" si="15"/>
        <v>0</v>
      </c>
      <c r="G457" s="334">
        <f t="shared" si="16"/>
        <v>0</v>
      </c>
    </row>
    <row r="458" spans="1:7" s="332" customFormat="1" ht="19.5" customHeight="1">
      <c r="A458" s="337" t="s">
        <v>209</v>
      </c>
      <c r="B458" s="194">
        <f>B459+B460</f>
        <v>9322</v>
      </c>
      <c r="C458" s="166">
        <v>10903</v>
      </c>
      <c r="D458" s="194">
        <v>10903</v>
      </c>
      <c r="E458" s="194">
        <f>E459+E460</f>
        <v>9829</v>
      </c>
      <c r="F458" s="334">
        <f t="shared" si="15"/>
        <v>105.44</v>
      </c>
      <c r="G458" s="334">
        <f t="shared" si="16"/>
        <v>90.15</v>
      </c>
    </row>
    <row r="459" spans="1:7" s="332" customFormat="1" ht="19.5" customHeight="1">
      <c r="A459" s="337" t="s">
        <v>210</v>
      </c>
      <c r="B459" s="165">
        <v>5559</v>
      </c>
      <c r="C459" s="166">
        <v>6600.01</v>
      </c>
      <c r="D459" s="166">
        <v>6500</v>
      </c>
      <c r="E459" s="191">
        <v>5850</v>
      </c>
      <c r="F459" s="334">
        <f t="shared" si="15"/>
        <v>105.23</v>
      </c>
      <c r="G459" s="334">
        <f t="shared" si="16"/>
        <v>88.64</v>
      </c>
    </row>
    <row r="460" spans="1:7" s="332" customFormat="1" ht="19.5" customHeight="1">
      <c r="A460" s="337" t="s">
        <v>211</v>
      </c>
      <c r="B460" s="165">
        <v>3763</v>
      </c>
      <c r="C460" s="166">
        <v>4303</v>
      </c>
      <c r="D460" s="166">
        <v>4403</v>
      </c>
      <c r="E460" s="191">
        <v>3979</v>
      </c>
      <c r="F460" s="334">
        <f t="shared" si="15"/>
        <v>105.74</v>
      </c>
      <c r="G460" s="334">
        <f t="shared" si="16"/>
        <v>92.47</v>
      </c>
    </row>
    <row r="461" spans="1:7" s="332" customFormat="1" ht="19.5" customHeight="1">
      <c r="A461" s="337" t="s">
        <v>212</v>
      </c>
      <c r="B461" s="194">
        <f>B462+B463+B464</f>
        <v>7195</v>
      </c>
      <c r="C461" s="166">
        <v>6893</v>
      </c>
      <c r="D461" s="194">
        <v>6893</v>
      </c>
      <c r="E461" s="194">
        <f>E462+E463+E464</f>
        <v>4059</v>
      </c>
      <c r="F461" s="334">
        <f t="shared" si="15"/>
        <v>56.41</v>
      </c>
      <c r="G461" s="334">
        <f t="shared" si="16"/>
        <v>58.89</v>
      </c>
    </row>
    <row r="462" spans="1:7" s="332" customFormat="1" ht="19.5" customHeight="1">
      <c r="A462" s="337" t="s">
        <v>213</v>
      </c>
      <c r="B462" s="165">
        <v>50</v>
      </c>
      <c r="C462" s="166">
        <v>1810</v>
      </c>
      <c r="D462" s="166">
        <v>1810</v>
      </c>
      <c r="E462" s="191">
        <v>1204</v>
      </c>
      <c r="F462" s="334">
        <f t="shared" si="15"/>
        <v>2408</v>
      </c>
      <c r="G462" s="334">
        <f t="shared" si="16"/>
        <v>66.52</v>
      </c>
    </row>
    <row r="463" spans="1:7" s="332" customFormat="1" ht="19.5" customHeight="1">
      <c r="A463" s="337" t="s">
        <v>214</v>
      </c>
      <c r="B463" s="165">
        <v>1266</v>
      </c>
      <c r="C463" s="166">
        <v>1806</v>
      </c>
      <c r="D463" s="166">
        <v>1806</v>
      </c>
      <c r="E463" s="191">
        <v>1446</v>
      </c>
      <c r="F463" s="334">
        <f t="shared" si="15"/>
        <v>114.22</v>
      </c>
      <c r="G463" s="334">
        <f t="shared" si="16"/>
        <v>80.07</v>
      </c>
    </row>
    <row r="464" spans="1:7" s="332" customFormat="1" ht="19.5" customHeight="1">
      <c r="A464" s="164" t="s">
        <v>998</v>
      </c>
      <c r="B464" s="165">
        <v>5879</v>
      </c>
      <c r="C464" s="166">
        <v>3277</v>
      </c>
      <c r="D464" s="166">
        <v>3277</v>
      </c>
      <c r="E464" s="191">
        <v>1409</v>
      </c>
      <c r="F464" s="334"/>
      <c r="G464" s="334"/>
    </row>
    <row r="465" spans="1:7" s="332" customFormat="1" ht="19.5" customHeight="1">
      <c r="A465" s="337" t="s">
        <v>215</v>
      </c>
      <c r="B465" s="194">
        <f>B466+B467+B468+B469+B470+B471+1</f>
        <v>9691</v>
      </c>
      <c r="C465" s="166">
        <v>7132</v>
      </c>
      <c r="D465" s="194">
        <v>7132</v>
      </c>
      <c r="E465" s="194">
        <f>E466+E467+E468+E469+E470+E471</f>
        <v>6689</v>
      </c>
      <c r="F465" s="334">
        <f t="shared" si="15"/>
        <v>69.02</v>
      </c>
      <c r="G465" s="334">
        <f t="shared" si="16"/>
        <v>93.79</v>
      </c>
    </row>
    <row r="466" spans="1:7" s="332" customFormat="1" ht="19.5" customHeight="1">
      <c r="A466" s="337" t="s">
        <v>216</v>
      </c>
      <c r="B466" s="165">
        <v>931</v>
      </c>
      <c r="C466" s="166">
        <v>874</v>
      </c>
      <c r="D466" s="166">
        <v>874</v>
      </c>
      <c r="E466" s="191">
        <v>672</v>
      </c>
      <c r="F466" s="334">
        <f t="shared" si="15"/>
        <v>72.18</v>
      </c>
      <c r="G466" s="334">
        <f t="shared" si="16"/>
        <v>76.89</v>
      </c>
    </row>
    <row r="467" spans="1:7" s="332" customFormat="1" ht="19.5" customHeight="1">
      <c r="A467" s="337" t="s">
        <v>217</v>
      </c>
      <c r="B467" s="165">
        <v>103</v>
      </c>
      <c r="C467" s="166">
        <v>68</v>
      </c>
      <c r="D467" s="166">
        <v>68</v>
      </c>
      <c r="E467" s="191">
        <v>68</v>
      </c>
      <c r="F467" s="334">
        <f t="shared" si="15"/>
        <v>66.02</v>
      </c>
      <c r="G467" s="334">
        <f t="shared" si="16"/>
        <v>100</v>
      </c>
    </row>
    <row r="468" spans="1:7" s="332" customFormat="1" ht="19.5" customHeight="1">
      <c r="A468" s="337" t="s">
        <v>218</v>
      </c>
      <c r="B468" s="165">
        <v>2547</v>
      </c>
      <c r="C468" s="166">
        <v>2646.74</v>
      </c>
      <c r="D468" s="166">
        <v>2647</v>
      </c>
      <c r="E468" s="191">
        <v>2450</v>
      </c>
      <c r="F468" s="334">
        <f t="shared" si="15"/>
        <v>96.19</v>
      </c>
      <c r="G468" s="334">
        <f t="shared" si="16"/>
        <v>92.57</v>
      </c>
    </row>
    <row r="469" spans="1:7" s="332" customFormat="1" ht="19.5" customHeight="1">
      <c r="A469" s="337" t="s">
        <v>397</v>
      </c>
      <c r="B469" s="165">
        <v>5223</v>
      </c>
      <c r="C469" s="166">
        <v>2842</v>
      </c>
      <c r="D469" s="166">
        <v>2842</v>
      </c>
      <c r="E469" s="191">
        <v>2841</v>
      </c>
      <c r="F469" s="334">
        <f t="shared" si="15"/>
        <v>54.39</v>
      </c>
      <c r="G469" s="334">
        <f t="shared" si="16"/>
        <v>99.96</v>
      </c>
    </row>
    <row r="470" spans="1:7" s="332" customFormat="1" ht="19.5" customHeight="1">
      <c r="A470" s="337" t="s">
        <v>398</v>
      </c>
      <c r="B470" s="165">
        <v>30</v>
      </c>
      <c r="C470" s="166">
        <v>73</v>
      </c>
      <c r="D470" s="166">
        <v>73</v>
      </c>
      <c r="E470" s="191">
        <v>68</v>
      </c>
      <c r="F470" s="334">
        <f t="shared" si="15"/>
        <v>226.67</v>
      </c>
      <c r="G470" s="334">
        <f t="shared" si="16"/>
        <v>93.15</v>
      </c>
    </row>
    <row r="471" spans="1:7" s="332" customFormat="1" ht="19.5" customHeight="1">
      <c r="A471" s="342" t="s">
        <v>1063</v>
      </c>
      <c r="B471" s="165">
        <v>856</v>
      </c>
      <c r="C471" s="166">
        <v>628</v>
      </c>
      <c r="D471" s="166">
        <v>628</v>
      </c>
      <c r="E471" s="191">
        <v>590</v>
      </c>
      <c r="F471" s="334">
        <f t="shared" si="15"/>
        <v>68.93</v>
      </c>
      <c r="G471" s="334">
        <f t="shared" si="16"/>
        <v>93.95</v>
      </c>
    </row>
    <row r="472" spans="1:7" s="332" customFormat="1" ht="19.5" customHeight="1">
      <c r="A472" s="342" t="s">
        <v>1064</v>
      </c>
      <c r="B472" s="194">
        <f>B473+B474</f>
        <v>0</v>
      </c>
      <c r="C472" s="166">
        <v>172</v>
      </c>
      <c r="D472" s="194">
        <v>172</v>
      </c>
      <c r="E472" s="194">
        <f>E473+E474</f>
        <v>62</v>
      </c>
      <c r="F472" s="334">
        <f t="shared" si="15"/>
        <v>0</v>
      </c>
      <c r="G472" s="334">
        <f t="shared" si="16"/>
        <v>36.05</v>
      </c>
    </row>
    <row r="473" spans="1:7" s="332" customFormat="1" ht="19.5" customHeight="1">
      <c r="A473" s="337" t="s">
        <v>399</v>
      </c>
      <c r="B473" s="165"/>
      <c r="C473" s="166">
        <v>172</v>
      </c>
      <c r="D473" s="166">
        <v>172</v>
      </c>
      <c r="E473" s="191">
        <v>62</v>
      </c>
      <c r="F473" s="334">
        <f t="shared" si="15"/>
        <v>0</v>
      </c>
      <c r="G473" s="334">
        <f t="shared" si="16"/>
        <v>36.05</v>
      </c>
    </row>
    <row r="474" spans="1:7" s="332" customFormat="1" ht="19.5" customHeight="1">
      <c r="A474" s="337" t="s">
        <v>400</v>
      </c>
      <c r="B474" s="194">
        <v>0</v>
      </c>
      <c r="C474" s="166"/>
      <c r="D474" s="194"/>
      <c r="E474" s="194">
        <v>0</v>
      </c>
      <c r="F474" s="334">
        <f t="shared" si="15"/>
        <v>0</v>
      </c>
      <c r="G474" s="334">
        <f t="shared" si="16"/>
        <v>0</v>
      </c>
    </row>
    <row r="475" spans="1:7" s="332" customFormat="1" ht="19.5" customHeight="1">
      <c r="A475" s="337" t="s">
        <v>219</v>
      </c>
      <c r="B475" s="194">
        <f>584+1</f>
        <v>585</v>
      </c>
      <c r="C475" s="166">
        <v>1139</v>
      </c>
      <c r="D475" s="194">
        <v>1113</v>
      </c>
      <c r="E475" s="194">
        <f>E476+E477</f>
        <v>806</v>
      </c>
      <c r="F475" s="334">
        <f t="shared" si="15"/>
        <v>137.78</v>
      </c>
      <c r="G475" s="334">
        <f t="shared" si="16"/>
        <v>70.76</v>
      </c>
    </row>
    <row r="476" spans="1:7" s="332" customFormat="1" ht="19.5" customHeight="1">
      <c r="A476" s="337" t="s">
        <v>401</v>
      </c>
      <c r="B476" s="165">
        <v>534</v>
      </c>
      <c r="C476" s="166">
        <v>1089</v>
      </c>
      <c r="D476" s="166">
        <v>1063</v>
      </c>
      <c r="E476" s="191">
        <v>806</v>
      </c>
      <c r="F476" s="334">
        <f t="shared" si="15"/>
        <v>150.94</v>
      </c>
      <c r="G476" s="334">
        <f t="shared" si="16"/>
        <v>74.01</v>
      </c>
    </row>
    <row r="477" spans="1:7" s="332" customFormat="1" ht="19.5" customHeight="1">
      <c r="A477" s="337" t="s">
        <v>221</v>
      </c>
      <c r="B477" s="165">
        <v>50</v>
      </c>
      <c r="C477" s="166">
        <v>50</v>
      </c>
      <c r="D477" s="226">
        <v>50</v>
      </c>
      <c r="E477" s="194">
        <v>0</v>
      </c>
      <c r="F477" s="334">
        <f t="shared" si="15"/>
        <v>0</v>
      </c>
      <c r="G477" s="334">
        <f t="shared" si="16"/>
        <v>0</v>
      </c>
    </row>
    <row r="478" spans="1:7" s="332" customFormat="1" ht="19.5" customHeight="1">
      <c r="A478" s="337" t="s">
        <v>222</v>
      </c>
      <c r="B478" s="194">
        <f>B479+B480+B481</f>
        <v>1391</v>
      </c>
      <c r="C478" s="166">
        <v>3286</v>
      </c>
      <c r="D478" s="194">
        <v>3286</v>
      </c>
      <c r="E478" s="194">
        <f>E479+E480+E481</f>
        <v>1755</v>
      </c>
      <c r="F478" s="334">
        <f t="shared" si="15"/>
        <v>126.17</v>
      </c>
      <c r="G478" s="334">
        <f t="shared" si="16"/>
        <v>53.41</v>
      </c>
    </row>
    <row r="479" spans="1:7" s="332" customFormat="1" ht="19.5" customHeight="1">
      <c r="A479" s="164" t="s">
        <v>999</v>
      </c>
      <c r="B479" s="165"/>
      <c r="C479" s="166">
        <v>50</v>
      </c>
      <c r="D479" s="166">
        <v>50</v>
      </c>
      <c r="E479" s="191">
        <v>30</v>
      </c>
      <c r="F479" s="334">
        <f t="shared" si="15"/>
        <v>0</v>
      </c>
      <c r="G479" s="334">
        <f t="shared" si="16"/>
        <v>60</v>
      </c>
    </row>
    <row r="480" spans="1:7" s="332" customFormat="1" ht="19.5" customHeight="1">
      <c r="A480" s="164" t="s">
        <v>1000</v>
      </c>
      <c r="B480" s="165">
        <v>834</v>
      </c>
      <c r="C480" s="166">
        <v>1031</v>
      </c>
      <c r="D480" s="166">
        <v>1031</v>
      </c>
      <c r="E480" s="191">
        <v>996</v>
      </c>
      <c r="F480" s="334">
        <f aca="true" t="shared" si="17" ref="F480:F491">IF(B480=0,0,E480/B480*100)</f>
        <v>119.42</v>
      </c>
      <c r="G480" s="334">
        <f aca="true" t="shared" si="18" ref="G480:G491">IF(E480=0,0,E480/C480*100)</f>
        <v>96.61</v>
      </c>
    </row>
    <row r="481" spans="1:7" s="332" customFormat="1" ht="19.5" customHeight="1">
      <c r="A481" s="164" t="s">
        <v>1001</v>
      </c>
      <c r="B481" s="165">
        <v>557</v>
      </c>
      <c r="C481" s="166">
        <v>2205</v>
      </c>
      <c r="D481" s="166">
        <v>2205</v>
      </c>
      <c r="E481" s="191">
        <v>729</v>
      </c>
      <c r="F481" s="334">
        <f t="shared" si="17"/>
        <v>130.88</v>
      </c>
      <c r="G481" s="334">
        <f t="shared" si="18"/>
        <v>33.06</v>
      </c>
    </row>
    <row r="482" spans="1:7" s="332" customFormat="1" ht="19.5" customHeight="1">
      <c r="A482" s="164" t="s">
        <v>968</v>
      </c>
      <c r="B482" s="165">
        <f>B483</f>
        <v>0</v>
      </c>
      <c r="C482" s="166">
        <v>25</v>
      </c>
      <c r="D482" s="165">
        <v>25</v>
      </c>
      <c r="E482" s="165">
        <f>E483</f>
        <v>25</v>
      </c>
      <c r="F482" s="334">
        <f t="shared" si="17"/>
        <v>0</v>
      </c>
      <c r="G482" s="334">
        <f t="shared" si="18"/>
        <v>100</v>
      </c>
    </row>
    <row r="483" spans="1:7" s="332" customFormat="1" ht="19.5" customHeight="1">
      <c r="A483" s="164" t="s">
        <v>969</v>
      </c>
      <c r="B483" s="165"/>
      <c r="C483" s="166">
        <v>25</v>
      </c>
      <c r="D483" s="166">
        <v>25</v>
      </c>
      <c r="E483" s="191">
        <v>25</v>
      </c>
      <c r="F483" s="334">
        <f t="shared" si="17"/>
        <v>0</v>
      </c>
      <c r="G483" s="334">
        <f t="shared" si="18"/>
        <v>100</v>
      </c>
    </row>
    <row r="484" spans="1:7" s="332" customFormat="1" ht="19.5" customHeight="1">
      <c r="A484" s="164" t="s">
        <v>1002</v>
      </c>
      <c r="B484" s="165">
        <v>14167</v>
      </c>
      <c r="C484" s="166">
        <v>13525.6</v>
      </c>
      <c r="D484" s="166">
        <v>13578</v>
      </c>
      <c r="E484" s="191">
        <f>E485+E486+E487</f>
        <v>13578</v>
      </c>
      <c r="F484" s="334">
        <f t="shared" si="17"/>
        <v>95.84</v>
      </c>
      <c r="G484" s="334">
        <f t="shared" si="18"/>
        <v>100.39</v>
      </c>
    </row>
    <row r="485" spans="1:7" s="332" customFormat="1" ht="19.5" customHeight="1">
      <c r="A485" s="164" t="s">
        <v>1003</v>
      </c>
      <c r="B485" s="165"/>
      <c r="C485" s="166">
        <v>0</v>
      </c>
      <c r="D485" s="166">
        <v>0</v>
      </c>
      <c r="E485" s="191">
        <v>0</v>
      </c>
      <c r="F485" s="334">
        <f t="shared" si="17"/>
        <v>0</v>
      </c>
      <c r="G485" s="334">
        <f t="shared" si="18"/>
        <v>0</v>
      </c>
    </row>
    <row r="486" spans="1:7" s="332" customFormat="1" ht="19.5" customHeight="1">
      <c r="A486" s="164" t="s">
        <v>1004</v>
      </c>
      <c r="B486" s="165"/>
      <c r="C486" s="166">
        <v>13525.6</v>
      </c>
      <c r="D486" s="166">
        <v>13578</v>
      </c>
      <c r="E486" s="191">
        <v>13578</v>
      </c>
      <c r="F486" s="334">
        <f t="shared" si="17"/>
        <v>0</v>
      </c>
      <c r="G486" s="334">
        <f t="shared" si="18"/>
        <v>100.39</v>
      </c>
    </row>
    <row r="487" spans="1:7" s="332" customFormat="1" ht="19.5" customHeight="1">
      <c r="A487" s="164" t="s">
        <v>1005</v>
      </c>
      <c r="B487" s="165">
        <v>14167</v>
      </c>
      <c r="C487" s="166">
        <v>0</v>
      </c>
      <c r="D487" s="166">
        <v>0</v>
      </c>
      <c r="E487" s="191">
        <v>0</v>
      </c>
      <c r="F487" s="334">
        <f t="shared" si="17"/>
        <v>0</v>
      </c>
      <c r="G487" s="334">
        <f t="shared" si="18"/>
        <v>0</v>
      </c>
    </row>
    <row r="488" spans="1:7" s="332" customFormat="1" ht="19.5" customHeight="1">
      <c r="A488" s="164" t="s">
        <v>1006</v>
      </c>
      <c r="B488" s="165">
        <v>331</v>
      </c>
      <c r="C488" s="166">
        <v>377</v>
      </c>
      <c r="D488" s="166">
        <v>377</v>
      </c>
      <c r="E488" s="191">
        <f>E489+E490</f>
        <v>369</v>
      </c>
      <c r="F488" s="334">
        <f t="shared" si="17"/>
        <v>111.48</v>
      </c>
      <c r="G488" s="334">
        <f t="shared" si="18"/>
        <v>97.88</v>
      </c>
    </row>
    <row r="489" spans="1:7" s="332" customFormat="1" ht="19.5" customHeight="1">
      <c r="A489" s="164" t="s">
        <v>1007</v>
      </c>
      <c r="B489" s="165">
        <v>331</v>
      </c>
      <c r="C489" s="166">
        <v>369</v>
      </c>
      <c r="D489" s="166">
        <v>369</v>
      </c>
      <c r="E489" s="191">
        <v>369</v>
      </c>
      <c r="F489" s="334">
        <f t="shared" si="17"/>
        <v>111.48</v>
      </c>
      <c r="G489" s="334">
        <f t="shared" si="18"/>
        <v>100</v>
      </c>
    </row>
    <row r="490" spans="1:7" s="332" customFormat="1" ht="19.5" customHeight="1">
      <c r="A490" s="164" t="s">
        <v>1008</v>
      </c>
      <c r="B490" s="165"/>
      <c r="C490" s="166">
        <v>8.64</v>
      </c>
      <c r="D490" s="166">
        <v>9</v>
      </c>
      <c r="E490" s="191">
        <v>0</v>
      </c>
      <c r="F490" s="334">
        <f t="shared" si="17"/>
        <v>0</v>
      </c>
      <c r="G490" s="334">
        <f t="shared" si="18"/>
        <v>0</v>
      </c>
    </row>
    <row r="491" spans="1:7" s="332" customFormat="1" ht="19.5" customHeight="1">
      <c r="A491" s="164" t="s">
        <v>1009</v>
      </c>
      <c r="B491" s="165">
        <v>133</v>
      </c>
      <c r="C491" s="166">
        <v>130.1</v>
      </c>
      <c r="D491" s="166">
        <v>130</v>
      </c>
      <c r="E491" s="191">
        <f>E492</f>
        <v>130</v>
      </c>
      <c r="F491" s="334">
        <f t="shared" si="17"/>
        <v>97.74</v>
      </c>
      <c r="G491" s="334">
        <f t="shared" si="18"/>
        <v>99.92</v>
      </c>
    </row>
    <row r="492" spans="1:7" s="332" customFormat="1" ht="19.5" customHeight="1">
      <c r="A492" s="164" t="s">
        <v>1010</v>
      </c>
      <c r="B492" s="165">
        <v>133</v>
      </c>
      <c r="C492" s="166">
        <v>130.1</v>
      </c>
      <c r="D492" s="166">
        <v>130</v>
      </c>
      <c r="E492" s="191">
        <v>130</v>
      </c>
      <c r="F492" s="334">
        <f>IF(B492=0,0,E492/B492*100)</f>
        <v>97.74</v>
      </c>
      <c r="G492" s="334">
        <f>IF(E492=0,0,E492/C492*100)</f>
        <v>99.92</v>
      </c>
    </row>
    <row r="493" spans="1:7" s="332" customFormat="1" ht="19.5" customHeight="1">
      <c r="A493" s="164" t="s">
        <v>1011</v>
      </c>
      <c r="B493" s="165">
        <v>1460</v>
      </c>
      <c r="C493" s="166">
        <v>0</v>
      </c>
      <c r="D493" s="226">
        <v>0</v>
      </c>
      <c r="E493" s="194">
        <f>SUM(E494)</f>
        <v>0</v>
      </c>
      <c r="F493" s="334">
        <f t="shared" si="15"/>
        <v>0</v>
      </c>
      <c r="G493" s="334">
        <f t="shared" si="16"/>
        <v>0</v>
      </c>
    </row>
    <row r="494" spans="1:7" s="332" customFormat="1" ht="19.5" customHeight="1">
      <c r="A494" s="164" t="s">
        <v>1012</v>
      </c>
      <c r="B494" s="165">
        <v>1460</v>
      </c>
      <c r="C494" s="166">
        <v>0</v>
      </c>
      <c r="D494" s="226">
        <v>0</v>
      </c>
      <c r="E494" s="194">
        <v>0</v>
      </c>
      <c r="F494" s="334">
        <f t="shared" si="15"/>
        <v>0</v>
      </c>
      <c r="G494" s="334">
        <f t="shared" si="16"/>
        <v>0</v>
      </c>
    </row>
    <row r="495" spans="1:7" s="332" customFormat="1" ht="19.5" customHeight="1">
      <c r="A495" s="337" t="s">
        <v>585</v>
      </c>
      <c r="B495" s="194">
        <f>B496+B501+B503+B509+B511+B513+B518</f>
        <v>16321</v>
      </c>
      <c r="C495" s="165">
        <v>33300</v>
      </c>
      <c r="D495" s="194">
        <f>39026+1</f>
        <v>39027</v>
      </c>
      <c r="E495" s="194">
        <f>E496+E501+E503+E509+E511+E513+E518</f>
        <v>24069</v>
      </c>
      <c r="F495" s="334">
        <f t="shared" si="15"/>
        <v>147.47</v>
      </c>
      <c r="G495" s="334">
        <f t="shared" si="16"/>
        <v>72.28</v>
      </c>
    </row>
    <row r="496" spans="1:7" s="332" customFormat="1" ht="19.5" customHeight="1">
      <c r="A496" s="337" t="s">
        <v>224</v>
      </c>
      <c r="B496" s="194">
        <f>B498+B500+B499+B497</f>
        <v>498</v>
      </c>
      <c r="C496" s="166">
        <v>432</v>
      </c>
      <c r="D496" s="194">
        <v>432</v>
      </c>
      <c r="E496" s="194">
        <f>E498+E500+E499+E497</f>
        <v>420</v>
      </c>
      <c r="F496" s="334">
        <f t="shared" si="15"/>
        <v>84.34</v>
      </c>
      <c r="G496" s="334">
        <f t="shared" si="16"/>
        <v>97.22</v>
      </c>
    </row>
    <row r="497" spans="1:7" s="332" customFormat="1" ht="19.5" customHeight="1">
      <c r="A497" s="337" t="s">
        <v>402</v>
      </c>
      <c r="B497" s="165">
        <v>148</v>
      </c>
      <c r="C497" s="166">
        <v>183</v>
      </c>
      <c r="D497" s="166">
        <v>183</v>
      </c>
      <c r="E497" s="191">
        <v>183</v>
      </c>
      <c r="F497" s="334">
        <f t="shared" si="15"/>
        <v>123.65</v>
      </c>
      <c r="G497" s="334">
        <f t="shared" si="16"/>
        <v>100</v>
      </c>
    </row>
    <row r="498" spans="1:7" s="332" customFormat="1" ht="19.5" customHeight="1">
      <c r="A498" s="337" t="s">
        <v>403</v>
      </c>
      <c r="B498" s="165">
        <v>50</v>
      </c>
      <c r="C498" s="166">
        <v>50</v>
      </c>
      <c r="D498" s="166">
        <v>50</v>
      </c>
      <c r="E498" s="191">
        <v>50</v>
      </c>
      <c r="F498" s="334">
        <f t="shared" si="15"/>
        <v>100</v>
      </c>
      <c r="G498" s="334">
        <f t="shared" si="16"/>
        <v>100</v>
      </c>
    </row>
    <row r="499" spans="1:7" s="332" customFormat="1" ht="19.5" customHeight="1">
      <c r="A499" s="164" t="s">
        <v>1013</v>
      </c>
      <c r="B499" s="165">
        <v>200</v>
      </c>
      <c r="C499" s="166">
        <v>101.2</v>
      </c>
      <c r="D499" s="166">
        <v>101</v>
      </c>
      <c r="E499" s="191">
        <v>89</v>
      </c>
      <c r="F499" s="334">
        <f>IF(B499=0,0,E499/B499*100)</f>
        <v>44.5</v>
      </c>
      <c r="G499" s="334">
        <f>IF(E499=0,0,E499/C499*100)</f>
        <v>87.94</v>
      </c>
    </row>
    <row r="500" spans="1:7" s="332" customFormat="1" ht="19.5" customHeight="1">
      <c r="A500" s="337" t="s">
        <v>404</v>
      </c>
      <c r="B500" s="165">
        <v>100</v>
      </c>
      <c r="C500" s="166">
        <v>97.5</v>
      </c>
      <c r="D500" s="166">
        <v>98</v>
      </c>
      <c r="E500" s="191">
        <v>98</v>
      </c>
      <c r="F500" s="334">
        <f t="shared" si="15"/>
        <v>98</v>
      </c>
      <c r="G500" s="334">
        <f t="shared" si="16"/>
        <v>100.51</v>
      </c>
    </row>
    <row r="501" spans="1:7" s="332" customFormat="1" ht="19.5" customHeight="1">
      <c r="A501" s="337" t="s">
        <v>405</v>
      </c>
      <c r="B501" s="194">
        <f>B502</f>
        <v>230</v>
      </c>
      <c r="C501" s="166">
        <v>230</v>
      </c>
      <c r="D501" s="194">
        <v>230</v>
      </c>
      <c r="E501" s="194">
        <f>E502</f>
        <v>228</v>
      </c>
      <c r="F501" s="334">
        <f t="shared" si="15"/>
        <v>99.13</v>
      </c>
      <c r="G501" s="334">
        <f t="shared" si="16"/>
        <v>99.13</v>
      </c>
    </row>
    <row r="502" spans="1:7" s="332" customFormat="1" ht="19.5" customHeight="1">
      <c r="A502" s="337" t="s">
        <v>406</v>
      </c>
      <c r="B502" s="165">
        <v>230</v>
      </c>
      <c r="C502" s="166">
        <v>230</v>
      </c>
      <c r="D502" s="166">
        <v>230</v>
      </c>
      <c r="E502" s="191">
        <v>228</v>
      </c>
      <c r="F502" s="334">
        <f t="shared" si="15"/>
        <v>99.13</v>
      </c>
      <c r="G502" s="334">
        <f t="shared" si="16"/>
        <v>99.13</v>
      </c>
    </row>
    <row r="503" spans="1:7" s="332" customFormat="1" ht="19.5" customHeight="1">
      <c r="A503" s="337" t="s">
        <v>407</v>
      </c>
      <c r="B503" s="194">
        <f>B504+B505+B506+B507+B508</f>
        <v>12185</v>
      </c>
      <c r="C503" s="166">
        <v>30973</v>
      </c>
      <c r="D503" s="194">
        <f>32465+1</f>
        <v>32466</v>
      </c>
      <c r="E503" s="194">
        <f>E504+E505+E506+E507+E508</f>
        <v>21609</v>
      </c>
      <c r="F503" s="334">
        <f t="shared" si="15"/>
        <v>177.34</v>
      </c>
      <c r="G503" s="334">
        <f t="shared" si="16"/>
        <v>69.77</v>
      </c>
    </row>
    <row r="504" spans="1:7" s="332" customFormat="1" ht="19.5" customHeight="1">
      <c r="A504" s="337" t="s">
        <v>408</v>
      </c>
      <c r="B504" s="165">
        <v>6460</v>
      </c>
      <c r="C504" s="166">
        <v>26923</v>
      </c>
      <c r="D504" s="166">
        <f>28234</f>
        <v>28234</v>
      </c>
      <c r="E504" s="191">
        <v>18243</v>
      </c>
      <c r="F504" s="334">
        <f t="shared" si="15"/>
        <v>282.4</v>
      </c>
      <c r="G504" s="334">
        <f t="shared" si="16"/>
        <v>67.76</v>
      </c>
    </row>
    <row r="505" spans="1:7" s="332" customFormat="1" ht="19.5" customHeight="1">
      <c r="A505" s="337" t="s">
        <v>409</v>
      </c>
      <c r="B505" s="165">
        <v>2228</v>
      </c>
      <c r="C505" s="166">
        <v>2089</v>
      </c>
      <c r="D505" s="166">
        <v>2339</v>
      </c>
      <c r="E505" s="191">
        <v>1896</v>
      </c>
      <c r="F505" s="334">
        <f t="shared" si="15"/>
        <v>85.1</v>
      </c>
      <c r="G505" s="334">
        <f t="shared" si="16"/>
        <v>90.76</v>
      </c>
    </row>
    <row r="506" spans="1:7" s="332" customFormat="1" ht="19.5" customHeight="1">
      <c r="A506" s="337" t="s">
        <v>410</v>
      </c>
      <c r="B506" s="165"/>
      <c r="C506" s="166">
        <v>5</v>
      </c>
      <c r="D506" s="166">
        <v>5</v>
      </c>
      <c r="E506" s="191">
        <v>0</v>
      </c>
      <c r="F506" s="334">
        <f t="shared" si="15"/>
        <v>0</v>
      </c>
      <c r="G506" s="334">
        <f t="shared" si="16"/>
        <v>0</v>
      </c>
    </row>
    <row r="507" spans="1:7" s="332" customFormat="1" ht="19.5" customHeight="1">
      <c r="A507" s="337" t="s">
        <v>411</v>
      </c>
      <c r="B507" s="165">
        <v>1572</v>
      </c>
      <c r="C507" s="166">
        <v>68.75</v>
      </c>
      <c r="D507" s="166">
        <v>0</v>
      </c>
      <c r="E507" s="191">
        <v>0</v>
      </c>
      <c r="F507" s="334">
        <f aca="true" t="shared" si="19" ref="F507:F572">IF(B507=0,0,E507/B507*100)</f>
        <v>0</v>
      </c>
      <c r="G507" s="334">
        <f aca="true" t="shared" si="20" ref="G507:G572">IF(E507=0,0,E507/C507*100)</f>
        <v>0</v>
      </c>
    </row>
    <row r="508" spans="1:7" s="332" customFormat="1" ht="19.5" customHeight="1">
      <c r="A508" s="337" t="s">
        <v>412</v>
      </c>
      <c r="B508" s="165">
        <v>1925</v>
      </c>
      <c r="C508" s="166">
        <v>1887</v>
      </c>
      <c r="D508" s="166">
        <f>1887+1</f>
        <v>1888</v>
      </c>
      <c r="E508" s="191">
        <v>1470</v>
      </c>
      <c r="F508" s="334">
        <f t="shared" si="19"/>
        <v>76.36</v>
      </c>
      <c r="G508" s="334">
        <f t="shared" si="20"/>
        <v>77.9</v>
      </c>
    </row>
    <row r="509" spans="1:7" s="332" customFormat="1" ht="19.5" customHeight="1">
      <c r="A509" s="337" t="s">
        <v>413</v>
      </c>
      <c r="B509" s="194">
        <f>B510</f>
        <v>50</v>
      </c>
      <c r="C509" s="166">
        <v>18.5</v>
      </c>
      <c r="D509" s="194">
        <v>19</v>
      </c>
      <c r="E509" s="194">
        <v>258</v>
      </c>
      <c r="F509" s="334">
        <f t="shared" si="19"/>
        <v>516</v>
      </c>
      <c r="G509" s="334">
        <f t="shared" si="20"/>
        <v>1394.59</v>
      </c>
    </row>
    <row r="510" spans="1:7" s="332" customFormat="1" ht="19.5" customHeight="1">
      <c r="A510" s="164" t="s">
        <v>1014</v>
      </c>
      <c r="B510" s="165">
        <v>50</v>
      </c>
      <c r="C510" s="166">
        <v>18.5</v>
      </c>
      <c r="D510" s="166">
        <v>19</v>
      </c>
      <c r="E510" s="191">
        <v>19</v>
      </c>
      <c r="F510" s="334">
        <f t="shared" si="19"/>
        <v>38</v>
      </c>
      <c r="G510" s="334">
        <f t="shared" si="20"/>
        <v>102.7</v>
      </c>
    </row>
    <row r="511" spans="1:7" s="332" customFormat="1" ht="19.5" customHeight="1">
      <c r="A511" s="337" t="s">
        <v>414</v>
      </c>
      <c r="B511" s="194">
        <v>0</v>
      </c>
      <c r="C511" s="166">
        <v>121</v>
      </c>
      <c r="D511" s="194">
        <v>121</v>
      </c>
      <c r="E511" s="194">
        <f>E512</f>
        <v>121</v>
      </c>
      <c r="F511" s="334">
        <f t="shared" si="19"/>
        <v>0</v>
      </c>
      <c r="G511" s="334">
        <f t="shared" si="20"/>
        <v>100</v>
      </c>
    </row>
    <row r="512" spans="1:7" s="332" customFormat="1" ht="19.5" customHeight="1">
      <c r="A512" s="337" t="s">
        <v>415</v>
      </c>
      <c r="B512" s="194">
        <v>0</v>
      </c>
      <c r="C512" s="166">
        <v>121</v>
      </c>
      <c r="D512" s="200">
        <v>121</v>
      </c>
      <c r="E512" s="191">
        <v>121</v>
      </c>
      <c r="F512" s="334">
        <f t="shared" si="19"/>
        <v>0</v>
      </c>
      <c r="G512" s="334">
        <f t="shared" si="20"/>
        <v>100</v>
      </c>
    </row>
    <row r="513" spans="1:7" s="332" customFormat="1" ht="19.5" customHeight="1">
      <c r="A513" s="337" t="s">
        <v>226</v>
      </c>
      <c r="B513" s="194">
        <f>B514+B515+B516</f>
        <v>3358</v>
      </c>
      <c r="C513" s="166">
        <v>1526</v>
      </c>
      <c r="D513" s="194">
        <v>5520</v>
      </c>
      <c r="E513" s="194">
        <f>E514+E515+E516</f>
        <v>1433</v>
      </c>
      <c r="F513" s="334">
        <f t="shared" si="19"/>
        <v>42.67</v>
      </c>
      <c r="G513" s="334">
        <f t="shared" si="20"/>
        <v>93.91</v>
      </c>
    </row>
    <row r="514" spans="1:7" s="332" customFormat="1" ht="19.5" customHeight="1">
      <c r="A514" s="337" t="s">
        <v>227</v>
      </c>
      <c r="B514" s="165">
        <v>1758</v>
      </c>
      <c r="C514" s="166">
        <v>799.1</v>
      </c>
      <c r="D514" s="166">
        <v>799</v>
      </c>
      <c r="E514" s="191">
        <v>725</v>
      </c>
      <c r="F514" s="334">
        <f t="shared" si="19"/>
        <v>41.24</v>
      </c>
      <c r="G514" s="334">
        <f t="shared" si="20"/>
        <v>90.73</v>
      </c>
    </row>
    <row r="515" spans="1:7" s="332" customFormat="1" ht="19.5" customHeight="1">
      <c r="A515" s="337" t="s">
        <v>416</v>
      </c>
      <c r="B515" s="165">
        <v>50</v>
      </c>
      <c r="C515" s="166">
        <v>10</v>
      </c>
      <c r="D515" s="166">
        <v>10</v>
      </c>
      <c r="E515" s="191">
        <v>10</v>
      </c>
      <c r="F515" s="334">
        <f t="shared" si="19"/>
        <v>20</v>
      </c>
      <c r="G515" s="334">
        <f t="shared" si="20"/>
        <v>100</v>
      </c>
    </row>
    <row r="516" spans="1:7" s="332" customFormat="1" ht="19.5" customHeight="1">
      <c r="A516" s="337" t="s">
        <v>417</v>
      </c>
      <c r="B516" s="165">
        <v>1550</v>
      </c>
      <c r="C516" s="245">
        <v>717</v>
      </c>
      <c r="D516" s="166">
        <v>717</v>
      </c>
      <c r="E516" s="191">
        <v>698</v>
      </c>
      <c r="F516" s="334">
        <f t="shared" si="19"/>
        <v>45.03</v>
      </c>
      <c r="G516" s="334">
        <f t="shared" si="20"/>
        <v>97.35</v>
      </c>
    </row>
    <row r="517" spans="1:7" s="332" customFormat="1" ht="19.5" customHeight="1">
      <c r="A517" s="346" t="s">
        <v>1268</v>
      </c>
      <c r="B517" s="194">
        <v>0</v>
      </c>
      <c r="C517" s="198"/>
      <c r="D517" s="200">
        <v>3994</v>
      </c>
      <c r="E517" s="191">
        <v>0</v>
      </c>
      <c r="F517" s="334">
        <f t="shared" si="19"/>
        <v>0</v>
      </c>
      <c r="G517" s="334">
        <f t="shared" si="20"/>
        <v>0</v>
      </c>
    </row>
    <row r="518" spans="1:7" s="332" customFormat="1" ht="19.5" customHeight="1">
      <c r="A518" s="342" t="s">
        <v>1060</v>
      </c>
      <c r="B518" s="194">
        <v>0</v>
      </c>
      <c r="C518" s="198"/>
      <c r="D518" s="237">
        <v>240</v>
      </c>
      <c r="E518" s="194">
        <v>0</v>
      </c>
      <c r="F518" s="334">
        <f t="shared" si="19"/>
        <v>0</v>
      </c>
      <c r="G518" s="334">
        <f t="shared" si="20"/>
        <v>0</v>
      </c>
    </row>
    <row r="519" spans="1:7" s="332" customFormat="1" ht="19.5" customHeight="1">
      <c r="A519" s="342" t="s">
        <v>1059</v>
      </c>
      <c r="B519" s="194">
        <v>0</v>
      </c>
      <c r="C519" s="198"/>
      <c r="D519" s="200">
        <v>240</v>
      </c>
      <c r="E519" s="191">
        <v>240</v>
      </c>
      <c r="F519" s="334">
        <f t="shared" si="19"/>
        <v>0</v>
      </c>
      <c r="G519" s="334" t="e">
        <f t="shared" si="20"/>
        <v>#DIV/0!</v>
      </c>
    </row>
    <row r="520" spans="1:7" s="332" customFormat="1" ht="19.5" customHeight="1">
      <c r="A520" s="337" t="s">
        <v>586</v>
      </c>
      <c r="B520" s="194">
        <f>B521+B525+B527+B530+B532+B534-2</f>
        <v>344575</v>
      </c>
      <c r="C520" s="165">
        <v>383221</v>
      </c>
      <c r="D520" s="194">
        <v>404396</v>
      </c>
      <c r="E520" s="194">
        <f>E521+E525+E527+E530+E532+E534-2</f>
        <v>294588</v>
      </c>
      <c r="F520" s="334">
        <f t="shared" si="19"/>
        <v>85.49</v>
      </c>
      <c r="G520" s="334">
        <f t="shared" si="20"/>
        <v>76.87</v>
      </c>
    </row>
    <row r="521" spans="1:7" s="332" customFormat="1" ht="19.5" customHeight="1">
      <c r="A521" s="337" t="s">
        <v>228</v>
      </c>
      <c r="B521" s="194">
        <f>B523+B524+B522</f>
        <v>541</v>
      </c>
      <c r="C521" s="166">
        <v>1711</v>
      </c>
      <c r="D521" s="194">
        <v>1711</v>
      </c>
      <c r="E521" s="194">
        <f>E523+E524+E522</f>
        <v>1510</v>
      </c>
      <c r="F521" s="334">
        <f t="shared" si="19"/>
        <v>279.11</v>
      </c>
      <c r="G521" s="334">
        <f t="shared" si="20"/>
        <v>88.25</v>
      </c>
    </row>
    <row r="522" spans="1:7" s="332" customFormat="1" ht="19.5" customHeight="1">
      <c r="A522" s="164" t="s">
        <v>1015</v>
      </c>
      <c r="B522" s="165"/>
      <c r="C522" s="166">
        <v>7.9</v>
      </c>
      <c r="D522" s="166">
        <v>8</v>
      </c>
      <c r="E522" s="191">
        <v>8</v>
      </c>
      <c r="F522" s="334"/>
      <c r="G522" s="334"/>
    </row>
    <row r="523" spans="1:7" s="332" customFormat="1" ht="19.5" customHeight="1">
      <c r="A523" s="337" t="s">
        <v>230</v>
      </c>
      <c r="B523" s="165">
        <v>341</v>
      </c>
      <c r="C523" s="166">
        <v>292</v>
      </c>
      <c r="D523" s="166">
        <v>292</v>
      </c>
      <c r="E523" s="191">
        <v>90</v>
      </c>
      <c r="F523" s="334">
        <f t="shared" si="19"/>
        <v>26.39</v>
      </c>
      <c r="G523" s="334">
        <f t="shared" si="20"/>
        <v>30.82</v>
      </c>
    </row>
    <row r="524" spans="1:7" s="332" customFormat="1" ht="19.5" customHeight="1">
      <c r="A524" s="337" t="s">
        <v>231</v>
      </c>
      <c r="B524" s="165">
        <v>200</v>
      </c>
      <c r="C524" s="166">
        <v>1412</v>
      </c>
      <c r="D524" s="166">
        <v>1412</v>
      </c>
      <c r="E524" s="191">
        <v>1412</v>
      </c>
      <c r="F524" s="334">
        <f t="shared" si="19"/>
        <v>706</v>
      </c>
      <c r="G524" s="334">
        <f t="shared" si="20"/>
        <v>100</v>
      </c>
    </row>
    <row r="525" spans="1:7" s="332" customFormat="1" ht="19.5" customHeight="1">
      <c r="A525" s="337" t="s">
        <v>418</v>
      </c>
      <c r="B525" s="194">
        <f>B526</f>
        <v>3900</v>
      </c>
      <c r="C525" s="166">
        <v>3953.54</v>
      </c>
      <c r="D525" s="194">
        <v>3954</v>
      </c>
      <c r="E525" s="194">
        <f>E526</f>
        <v>3931</v>
      </c>
      <c r="F525" s="334">
        <f t="shared" si="19"/>
        <v>100.79</v>
      </c>
      <c r="G525" s="334">
        <f t="shared" si="20"/>
        <v>99.43</v>
      </c>
    </row>
    <row r="526" spans="1:7" s="332" customFormat="1" ht="19.5" customHeight="1">
      <c r="A526" s="337" t="s">
        <v>419</v>
      </c>
      <c r="B526" s="165">
        <v>3900</v>
      </c>
      <c r="C526" s="166">
        <v>3953.54</v>
      </c>
      <c r="D526" s="166">
        <v>3954</v>
      </c>
      <c r="E526" s="191">
        <v>3931</v>
      </c>
      <c r="F526" s="334">
        <f t="shared" si="19"/>
        <v>100.79</v>
      </c>
      <c r="G526" s="334">
        <f t="shared" si="20"/>
        <v>99.43</v>
      </c>
    </row>
    <row r="527" spans="1:7" s="332" customFormat="1" ht="19.5" customHeight="1">
      <c r="A527" s="337" t="s">
        <v>232</v>
      </c>
      <c r="B527" s="194">
        <f>B528+B529</f>
        <v>287451</v>
      </c>
      <c r="C527" s="166">
        <v>326021</v>
      </c>
      <c r="D527" s="194">
        <v>347196</v>
      </c>
      <c r="E527" s="194">
        <f>E528+E529</f>
        <v>249813</v>
      </c>
      <c r="F527" s="334">
        <f t="shared" si="19"/>
        <v>86.91</v>
      </c>
      <c r="G527" s="334">
        <f t="shared" si="20"/>
        <v>76.62</v>
      </c>
    </row>
    <row r="528" spans="1:7" s="332" customFormat="1" ht="19.5" customHeight="1">
      <c r="A528" s="337" t="s">
        <v>420</v>
      </c>
      <c r="B528" s="165"/>
      <c r="C528" s="166">
        <v>0</v>
      </c>
      <c r="D528" s="226">
        <v>0</v>
      </c>
      <c r="E528" s="194">
        <v>0</v>
      </c>
      <c r="F528" s="334">
        <f t="shared" si="19"/>
        <v>0</v>
      </c>
      <c r="G528" s="334">
        <f t="shared" si="20"/>
        <v>0</v>
      </c>
    </row>
    <row r="529" spans="1:7" s="332" customFormat="1" ht="19.5" customHeight="1">
      <c r="A529" s="337" t="s">
        <v>233</v>
      </c>
      <c r="B529" s="165">
        <v>287451</v>
      </c>
      <c r="C529" s="166">
        <v>326021</v>
      </c>
      <c r="D529" s="166">
        <v>347196</v>
      </c>
      <c r="E529" s="191">
        <v>249813</v>
      </c>
      <c r="F529" s="334">
        <f t="shared" si="19"/>
        <v>86.91</v>
      </c>
      <c r="G529" s="334">
        <f t="shared" si="20"/>
        <v>76.62</v>
      </c>
    </row>
    <row r="530" spans="1:7" s="332" customFormat="1" ht="19.5" customHeight="1">
      <c r="A530" s="337" t="s">
        <v>234</v>
      </c>
      <c r="B530" s="194">
        <f>B531</f>
        <v>52450</v>
      </c>
      <c r="C530" s="166">
        <v>50706</v>
      </c>
      <c r="D530" s="194">
        <v>50706</v>
      </c>
      <c r="E530" s="194">
        <f>E531</f>
        <v>38513</v>
      </c>
      <c r="F530" s="334">
        <f t="shared" si="19"/>
        <v>73.43</v>
      </c>
      <c r="G530" s="334">
        <f t="shared" si="20"/>
        <v>75.95</v>
      </c>
    </row>
    <row r="531" spans="1:7" s="332" customFormat="1" ht="19.5" customHeight="1">
      <c r="A531" s="337" t="s">
        <v>235</v>
      </c>
      <c r="B531" s="165">
        <v>52450</v>
      </c>
      <c r="C531" s="166">
        <v>50706</v>
      </c>
      <c r="D531" s="166">
        <v>50706</v>
      </c>
      <c r="E531" s="191">
        <v>38513</v>
      </c>
      <c r="F531" s="334">
        <f t="shared" si="19"/>
        <v>73.43</v>
      </c>
      <c r="G531" s="334">
        <f t="shared" si="20"/>
        <v>75.95</v>
      </c>
    </row>
    <row r="532" spans="1:7" s="332" customFormat="1" ht="19.5" customHeight="1">
      <c r="A532" s="337" t="s">
        <v>421</v>
      </c>
      <c r="B532" s="194">
        <f>B533</f>
        <v>0</v>
      </c>
      <c r="C532" s="166">
        <v>4</v>
      </c>
      <c r="D532" s="194">
        <v>4</v>
      </c>
      <c r="E532" s="194">
        <f>E533</f>
        <v>4</v>
      </c>
      <c r="F532" s="334">
        <f t="shared" si="19"/>
        <v>0</v>
      </c>
      <c r="G532" s="334">
        <f t="shared" si="20"/>
        <v>100</v>
      </c>
    </row>
    <row r="533" spans="1:7" s="332" customFormat="1" ht="19.5" customHeight="1">
      <c r="A533" s="337" t="s">
        <v>422</v>
      </c>
      <c r="B533" s="165"/>
      <c r="C533" s="166">
        <v>4</v>
      </c>
      <c r="D533" s="166">
        <v>4</v>
      </c>
      <c r="E533" s="191">
        <v>4</v>
      </c>
      <c r="F533" s="334">
        <f t="shared" si="19"/>
        <v>0</v>
      </c>
      <c r="G533" s="334">
        <f t="shared" si="20"/>
        <v>100</v>
      </c>
    </row>
    <row r="534" spans="1:7" s="332" customFormat="1" ht="19.5" customHeight="1">
      <c r="A534" s="337" t="s">
        <v>423</v>
      </c>
      <c r="B534" s="194">
        <f>B535</f>
        <v>235</v>
      </c>
      <c r="C534" s="166">
        <v>825</v>
      </c>
      <c r="D534" s="194">
        <v>825</v>
      </c>
      <c r="E534" s="194">
        <f>E535</f>
        <v>819</v>
      </c>
      <c r="F534" s="334">
        <f t="shared" si="19"/>
        <v>348.51</v>
      </c>
      <c r="G534" s="334">
        <f t="shared" si="20"/>
        <v>99.27</v>
      </c>
    </row>
    <row r="535" spans="1:7" s="332" customFormat="1" ht="19.5" customHeight="1">
      <c r="A535" s="337" t="s">
        <v>424</v>
      </c>
      <c r="B535" s="165">
        <v>235</v>
      </c>
      <c r="C535" s="166">
        <v>825</v>
      </c>
      <c r="D535" s="166">
        <v>825</v>
      </c>
      <c r="E535" s="191">
        <v>819</v>
      </c>
      <c r="F535" s="334">
        <f t="shared" si="19"/>
        <v>348.51</v>
      </c>
      <c r="G535" s="334">
        <f t="shared" si="20"/>
        <v>99.27</v>
      </c>
    </row>
    <row r="536" spans="1:7" s="332" customFormat="1" ht="19.5" customHeight="1">
      <c r="A536" s="337" t="s">
        <v>587</v>
      </c>
      <c r="B536" s="194">
        <f>B537+B549+B552+B559+B562+B565+1</f>
        <v>70399</v>
      </c>
      <c r="C536" s="165">
        <v>78926</v>
      </c>
      <c r="D536" s="194">
        <v>79485</v>
      </c>
      <c r="E536" s="194">
        <f>E537+E549+E552+E559+E562+E565+2</f>
        <v>52202</v>
      </c>
      <c r="F536" s="334">
        <f t="shared" si="19"/>
        <v>74.15</v>
      </c>
      <c r="G536" s="334">
        <f t="shared" si="20"/>
        <v>66.14</v>
      </c>
    </row>
    <row r="537" spans="1:7" s="332" customFormat="1" ht="19.5" customHeight="1">
      <c r="A537" s="337" t="s">
        <v>236</v>
      </c>
      <c r="B537" s="194">
        <f>B538+B539+B540+B541+B542+B544+B545+B547+B548+B543+B546</f>
        <v>7039</v>
      </c>
      <c r="C537" s="166">
        <v>2272</v>
      </c>
      <c r="D537" s="194">
        <f>SUM(D538:D548)</f>
        <v>2272</v>
      </c>
      <c r="E537" s="194">
        <f>SUM(E538:E548)</f>
        <v>929</v>
      </c>
      <c r="F537" s="334">
        <f t="shared" si="19"/>
        <v>13.2</v>
      </c>
      <c r="G537" s="334">
        <f t="shared" si="20"/>
        <v>40.89</v>
      </c>
    </row>
    <row r="538" spans="1:7" s="332" customFormat="1" ht="19.5" customHeight="1">
      <c r="A538" s="337" t="s">
        <v>425</v>
      </c>
      <c r="B538" s="165">
        <v>30</v>
      </c>
      <c r="C538" s="166">
        <v>30</v>
      </c>
      <c r="D538" s="166">
        <v>30</v>
      </c>
      <c r="E538" s="191">
        <v>30</v>
      </c>
      <c r="F538" s="334">
        <f t="shared" si="19"/>
        <v>100</v>
      </c>
      <c r="G538" s="334">
        <f t="shared" si="20"/>
        <v>100</v>
      </c>
    </row>
    <row r="539" spans="1:7" s="332" customFormat="1" ht="19.5" customHeight="1">
      <c r="A539" s="337" t="s">
        <v>426</v>
      </c>
      <c r="B539" s="165">
        <v>40</v>
      </c>
      <c r="C539" s="166">
        <v>25</v>
      </c>
      <c r="D539" s="166">
        <v>25</v>
      </c>
      <c r="E539" s="191">
        <v>0</v>
      </c>
      <c r="F539" s="334">
        <f t="shared" si="19"/>
        <v>0</v>
      </c>
      <c r="G539" s="334">
        <f t="shared" si="20"/>
        <v>0</v>
      </c>
    </row>
    <row r="540" spans="1:7" s="332" customFormat="1" ht="19.5" customHeight="1">
      <c r="A540" s="337" t="s">
        <v>427</v>
      </c>
      <c r="B540" s="165">
        <v>150</v>
      </c>
      <c r="C540" s="166">
        <v>98.99</v>
      </c>
      <c r="D540" s="166">
        <v>99</v>
      </c>
      <c r="E540" s="191">
        <v>96</v>
      </c>
      <c r="F540" s="334">
        <f t="shared" si="19"/>
        <v>64</v>
      </c>
      <c r="G540" s="334">
        <f t="shared" si="20"/>
        <v>96.98</v>
      </c>
    </row>
    <row r="541" spans="1:7" s="332" customFormat="1" ht="19.5" customHeight="1">
      <c r="A541" s="337" t="s">
        <v>428</v>
      </c>
      <c r="B541" s="165">
        <v>117</v>
      </c>
      <c r="C541" s="166">
        <v>95.5</v>
      </c>
      <c r="D541" s="166">
        <v>96</v>
      </c>
      <c r="E541" s="191">
        <v>91</v>
      </c>
      <c r="F541" s="334">
        <f t="shared" si="19"/>
        <v>77.78</v>
      </c>
      <c r="G541" s="334">
        <f t="shared" si="20"/>
        <v>95.29</v>
      </c>
    </row>
    <row r="542" spans="1:7" s="332" customFormat="1" ht="19.5" customHeight="1">
      <c r="A542" s="337" t="s">
        <v>429</v>
      </c>
      <c r="B542" s="165">
        <v>6</v>
      </c>
      <c r="C542" s="166">
        <v>186</v>
      </c>
      <c r="D542" s="166">
        <v>186</v>
      </c>
      <c r="E542" s="191">
        <v>158</v>
      </c>
      <c r="F542" s="334">
        <f t="shared" si="19"/>
        <v>2633.33</v>
      </c>
      <c r="G542" s="334">
        <f t="shared" si="20"/>
        <v>84.95</v>
      </c>
    </row>
    <row r="543" spans="1:7" s="332" customFormat="1" ht="19.5" customHeight="1">
      <c r="A543" s="164" t="s">
        <v>1016</v>
      </c>
      <c r="B543" s="165">
        <v>495</v>
      </c>
      <c r="C543" s="166">
        <v>0</v>
      </c>
      <c r="D543" s="166">
        <v>0</v>
      </c>
      <c r="E543" s="191">
        <v>0</v>
      </c>
      <c r="F543" s="334"/>
      <c r="G543" s="334"/>
    </row>
    <row r="544" spans="1:7" s="332" customFormat="1" ht="19.5" customHeight="1">
      <c r="A544" s="337" t="s">
        <v>430</v>
      </c>
      <c r="B544" s="165">
        <v>261</v>
      </c>
      <c r="C544" s="166">
        <v>270</v>
      </c>
      <c r="D544" s="166">
        <v>270</v>
      </c>
      <c r="E544" s="191">
        <v>196</v>
      </c>
      <c r="F544" s="334">
        <f t="shared" si="19"/>
        <v>75.1</v>
      </c>
      <c r="G544" s="334">
        <f t="shared" si="20"/>
        <v>72.59</v>
      </c>
    </row>
    <row r="545" spans="1:7" s="332" customFormat="1" ht="19.5" customHeight="1">
      <c r="A545" s="337" t="s">
        <v>431</v>
      </c>
      <c r="B545" s="165">
        <v>1160</v>
      </c>
      <c r="C545" s="166">
        <v>45</v>
      </c>
      <c r="D545" s="166">
        <v>45</v>
      </c>
      <c r="E545" s="191">
        <v>40</v>
      </c>
      <c r="F545" s="334">
        <f t="shared" si="19"/>
        <v>3.45</v>
      </c>
      <c r="G545" s="334">
        <f t="shared" si="20"/>
        <v>88.89</v>
      </c>
    </row>
    <row r="546" spans="1:7" s="332" customFormat="1" ht="19.5" customHeight="1">
      <c r="A546" s="164" t="s">
        <v>1017</v>
      </c>
      <c r="B546" s="165"/>
      <c r="C546" s="166">
        <v>200</v>
      </c>
      <c r="D546" s="166">
        <v>200</v>
      </c>
      <c r="E546" s="191">
        <v>0</v>
      </c>
      <c r="F546" s="334"/>
      <c r="G546" s="334"/>
    </row>
    <row r="547" spans="1:7" s="332" customFormat="1" ht="19.5" customHeight="1">
      <c r="A547" s="337" t="s">
        <v>432</v>
      </c>
      <c r="B547" s="165">
        <v>44</v>
      </c>
      <c r="C547" s="166">
        <v>52</v>
      </c>
      <c r="D547" s="166">
        <v>52</v>
      </c>
      <c r="E547" s="191">
        <v>42</v>
      </c>
      <c r="F547" s="334">
        <f t="shared" si="19"/>
        <v>95.45</v>
      </c>
      <c r="G547" s="334">
        <f t="shared" si="20"/>
        <v>80.77</v>
      </c>
    </row>
    <row r="548" spans="1:7" s="332" customFormat="1" ht="19.5" customHeight="1">
      <c r="A548" s="337" t="s">
        <v>433</v>
      </c>
      <c r="B548" s="165">
        <v>4736</v>
      </c>
      <c r="C548" s="166">
        <v>1269</v>
      </c>
      <c r="D548" s="166">
        <v>1269</v>
      </c>
      <c r="E548" s="191">
        <v>276</v>
      </c>
      <c r="F548" s="334">
        <f t="shared" si="19"/>
        <v>5.83</v>
      </c>
      <c r="G548" s="334">
        <f t="shared" si="20"/>
        <v>21.75</v>
      </c>
    </row>
    <row r="549" spans="1:7" s="332" customFormat="1" ht="19.5" customHeight="1">
      <c r="A549" s="337" t="s">
        <v>239</v>
      </c>
      <c r="B549" s="194">
        <f>B550+B551</f>
        <v>2275</v>
      </c>
      <c r="C549" s="166">
        <v>4634</v>
      </c>
      <c r="D549" s="194">
        <v>4634</v>
      </c>
      <c r="E549" s="194">
        <f>E550+E551</f>
        <v>1868</v>
      </c>
      <c r="F549" s="334">
        <f t="shared" si="19"/>
        <v>82.11</v>
      </c>
      <c r="G549" s="334">
        <f t="shared" si="20"/>
        <v>40.31</v>
      </c>
    </row>
    <row r="550" spans="1:7" s="332" customFormat="1" ht="19.5" customHeight="1">
      <c r="A550" s="337" t="s">
        <v>434</v>
      </c>
      <c r="B550" s="165">
        <v>2225</v>
      </c>
      <c r="C550" s="166">
        <v>4561</v>
      </c>
      <c r="D550" s="166">
        <v>4561</v>
      </c>
      <c r="E550" s="191">
        <v>1868</v>
      </c>
      <c r="F550" s="334">
        <f t="shared" si="19"/>
        <v>83.96</v>
      </c>
      <c r="G550" s="334">
        <f t="shared" si="20"/>
        <v>40.96</v>
      </c>
    </row>
    <row r="551" spans="1:7" s="332" customFormat="1" ht="19.5" customHeight="1">
      <c r="A551" s="337" t="s">
        <v>435</v>
      </c>
      <c r="B551" s="165">
        <v>50</v>
      </c>
      <c r="C551" s="166">
        <v>73.2</v>
      </c>
      <c r="D551" s="166">
        <v>73</v>
      </c>
      <c r="E551" s="191">
        <v>0</v>
      </c>
      <c r="F551" s="334">
        <f t="shared" si="19"/>
        <v>0</v>
      </c>
      <c r="G551" s="334">
        <f t="shared" si="20"/>
        <v>0</v>
      </c>
    </row>
    <row r="552" spans="1:7" s="332" customFormat="1" ht="19.5" customHeight="1">
      <c r="A552" s="337" t="s">
        <v>241</v>
      </c>
      <c r="B552" s="165">
        <f>B553+B554+B555+B556+B557+B558</f>
        <v>58892</v>
      </c>
      <c r="C552" s="166">
        <v>65890</v>
      </c>
      <c r="D552" s="165">
        <v>65925</v>
      </c>
      <c r="E552" s="194">
        <f>E553+E554+E555+E556+E557+E558</f>
        <v>44917</v>
      </c>
      <c r="F552" s="334">
        <f t="shared" si="19"/>
        <v>76.27</v>
      </c>
      <c r="G552" s="334">
        <f t="shared" si="20"/>
        <v>68.17</v>
      </c>
    </row>
    <row r="553" spans="1:7" s="332" customFormat="1" ht="19.5" customHeight="1">
      <c r="A553" s="337" t="s">
        <v>436</v>
      </c>
      <c r="B553" s="165">
        <v>5618</v>
      </c>
      <c r="C553" s="166">
        <v>1581</v>
      </c>
      <c r="D553" s="166">
        <v>1581</v>
      </c>
      <c r="E553" s="191">
        <v>1567</v>
      </c>
      <c r="F553" s="334">
        <f t="shared" si="19"/>
        <v>27.89</v>
      </c>
      <c r="G553" s="334">
        <f t="shared" si="20"/>
        <v>99.11</v>
      </c>
    </row>
    <row r="554" spans="1:7" s="332" customFormat="1" ht="19.5" customHeight="1">
      <c r="A554" s="337" t="s">
        <v>437</v>
      </c>
      <c r="B554" s="165">
        <v>600</v>
      </c>
      <c r="C554" s="166">
        <v>629</v>
      </c>
      <c r="D554" s="166">
        <v>629</v>
      </c>
      <c r="E554" s="191">
        <v>150</v>
      </c>
      <c r="F554" s="334">
        <f t="shared" si="19"/>
        <v>25</v>
      </c>
      <c r="G554" s="334">
        <f t="shared" si="20"/>
        <v>23.85</v>
      </c>
    </row>
    <row r="555" spans="1:7" s="332" customFormat="1" ht="19.5" customHeight="1">
      <c r="A555" s="337" t="s">
        <v>438</v>
      </c>
      <c r="B555" s="165"/>
      <c r="C555" s="166">
        <v>895</v>
      </c>
      <c r="D555" s="166">
        <v>895</v>
      </c>
      <c r="E555" s="191">
        <v>615</v>
      </c>
      <c r="F555" s="334">
        <f t="shared" si="19"/>
        <v>0</v>
      </c>
      <c r="G555" s="334">
        <f t="shared" si="20"/>
        <v>68.72</v>
      </c>
    </row>
    <row r="556" spans="1:7" s="332" customFormat="1" ht="19.5" customHeight="1">
      <c r="A556" s="337" t="s">
        <v>439</v>
      </c>
      <c r="B556" s="165">
        <v>19802</v>
      </c>
      <c r="C556" s="166">
        <v>23669</v>
      </c>
      <c r="D556" s="166">
        <v>23705</v>
      </c>
      <c r="E556" s="191">
        <v>8524</v>
      </c>
      <c r="F556" s="334">
        <f t="shared" si="19"/>
        <v>43.05</v>
      </c>
      <c r="G556" s="334">
        <f t="shared" si="20"/>
        <v>36.01</v>
      </c>
    </row>
    <row r="557" spans="1:7" s="332" customFormat="1" ht="19.5" customHeight="1">
      <c r="A557" s="164" t="s">
        <v>1018</v>
      </c>
      <c r="B557" s="165">
        <v>2</v>
      </c>
      <c r="C557" s="166">
        <v>2</v>
      </c>
      <c r="D557" s="166">
        <v>2</v>
      </c>
      <c r="E557" s="191">
        <v>2</v>
      </c>
      <c r="F557" s="334">
        <f t="shared" si="19"/>
        <v>100</v>
      </c>
      <c r="G557" s="334">
        <f t="shared" si="20"/>
        <v>100</v>
      </c>
    </row>
    <row r="558" spans="1:7" s="332" customFormat="1" ht="19.5" customHeight="1">
      <c r="A558" s="337" t="s">
        <v>440</v>
      </c>
      <c r="B558" s="165">
        <v>32870</v>
      </c>
      <c r="C558" s="166">
        <v>39114</v>
      </c>
      <c r="D558" s="166">
        <v>39114</v>
      </c>
      <c r="E558" s="191">
        <v>34059</v>
      </c>
      <c r="F558" s="334">
        <f t="shared" si="19"/>
        <v>103.62</v>
      </c>
      <c r="G558" s="334">
        <f t="shared" si="20"/>
        <v>87.08</v>
      </c>
    </row>
    <row r="559" spans="1:7" s="332" customFormat="1" ht="19.5" customHeight="1">
      <c r="A559" s="337" t="s">
        <v>441</v>
      </c>
      <c r="B559" s="194">
        <f>B560+B561</f>
        <v>917</v>
      </c>
      <c r="C559" s="166">
        <v>3126</v>
      </c>
      <c r="D559" s="194">
        <v>3288</v>
      </c>
      <c r="E559" s="194">
        <f>E560+E561</f>
        <v>3042</v>
      </c>
      <c r="F559" s="334">
        <f t="shared" si="19"/>
        <v>331.73</v>
      </c>
      <c r="G559" s="334">
        <f t="shared" si="20"/>
        <v>97.31</v>
      </c>
    </row>
    <row r="560" spans="1:7" s="332" customFormat="1" ht="19.5" customHeight="1">
      <c r="A560" s="337" t="s">
        <v>442</v>
      </c>
      <c r="B560" s="165">
        <v>5</v>
      </c>
      <c r="C560" s="166">
        <v>0</v>
      </c>
      <c r="D560" s="226">
        <v>0</v>
      </c>
      <c r="E560" s="194">
        <v>0</v>
      </c>
      <c r="F560" s="334">
        <f t="shared" si="19"/>
        <v>0</v>
      </c>
      <c r="G560" s="334">
        <f t="shared" si="20"/>
        <v>0</v>
      </c>
    </row>
    <row r="561" spans="1:7" s="332" customFormat="1" ht="19.5" customHeight="1">
      <c r="A561" s="337" t="s">
        <v>443</v>
      </c>
      <c r="B561" s="165">
        <v>912</v>
      </c>
      <c r="C561" s="166">
        <v>3126</v>
      </c>
      <c r="D561" s="166">
        <v>3288</v>
      </c>
      <c r="E561" s="191">
        <v>3042</v>
      </c>
      <c r="F561" s="334">
        <f t="shared" si="19"/>
        <v>333.55</v>
      </c>
      <c r="G561" s="334">
        <f t="shared" si="20"/>
        <v>97.31</v>
      </c>
    </row>
    <row r="562" spans="1:7" s="332" customFormat="1" ht="19.5" customHeight="1">
      <c r="A562" s="337" t="s">
        <v>444</v>
      </c>
      <c r="B562" s="194">
        <f>B563+B564</f>
        <v>0</v>
      </c>
      <c r="C562" s="166">
        <v>1560</v>
      </c>
      <c r="D562" s="194">
        <v>1560</v>
      </c>
      <c r="E562" s="194">
        <f>E563+E564</f>
        <v>647</v>
      </c>
      <c r="F562" s="334">
        <f t="shared" si="19"/>
        <v>0</v>
      </c>
      <c r="G562" s="334">
        <f t="shared" si="20"/>
        <v>41.47</v>
      </c>
    </row>
    <row r="563" spans="1:7" s="332" customFormat="1" ht="19.5" customHeight="1">
      <c r="A563" s="337" t="s">
        <v>445</v>
      </c>
      <c r="B563" s="165"/>
      <c r="C563" s="166">
        <v>755</v>
      </c>
      <c r="D563" s="166">
        <v>755</v>
      </c>
      <c r="E563" s="191">
        <v>647</v>
      </c>
      <c r="F563" s="334">
        <f t="shared" si="19"/>
        <v>0</v>
      </c>
      <c r="G563" s="334">
        <f t="shared" si="20"/>
        <v>85.7</v>
      </c>
    </row>
    <row r="564" spans="1:7" s="332" customFormat="1" ht="19.5" customHeight="1">
      <c r="A564" s="337" t="s">
        <v>446</v>
      </c>
      <c r="B564" s="165"/>
      <c r="C564" s="166">
        <v>804.95</v>
      </c>
      <c r="D564" s="166">
        <v>805</v>
      </c>
      <c r="E564" s="191">
        <v>0</v>
      </c>
      <c r="F564" s="334">
        <f t="shared" si="19"/>
        <v>0</v>
      </c>
      <c r="G564" s="334">
        <f t="shared" si="20"/>
        <v>0</v>
      </c>
    </row>
    <row r="565" spans="1:7" s="332" customFormat="1" ht="19.5" customHeight="1">
      <c r="A565" s="337" t="s">
        <v>447</v>
      </c>
      <c r="B565" s="194">
        <f>B566+B567+B568</f>
        <v>1275</v>
      </c>
      <c r="C565" s="166">
        <v>1443</v>
      </c>
      <c r="D565" s="194">
        <v>1805</v>
      </c>
      <c r="E565" s="194">
        <f>E566+E567+E568</f>
        <v>797</v>
      </c>
      <c r="F565" s="334">
        <f t="shared" si="19"/>
        <v>62.51</v>
      </c>
      <c r="G565" s="334">
        <f t="shared" si="20"/>
        <v>55.23</v>
      </c>
    </row>
    <row r="566" spans="1:7" s="332" customFormat="1" ht="19.5" customHeight="1">
      <c r="A566" s="337" t="s">
        <v>448</v>
      </c>
      <c r="B566" s="165">
        <v>100</v>
      </c>
      <c r="C566" s="166">
        <v>100</v>
      </c>
      <c r="D566" s="166">
        <v>100</v>
      </c>
      <c r="E566" s="191">
        <v>79</v>
      </c>
      <c r="F566" s="334">
        <f t="shared" si="19"/>
        <v>79</v>
      </c>
      <c r="G566" s="334">
        <f t="shared" si="20"/>
        <v>79</v>
      </c>
    </row>
    <row r="567" spans="1:7" s="332" customFormat="1" ht="19.5" customHeight="1">
      <c r="A567" s="337" t="s">
        <v>449</v>
      </c>
      <c r="B567" s="165">
        <v>675</v>
      </c>
      <c r="C567" s="166">
        <v>1025</v>
      </c>
      <c r="D567" s="166">
        <v>1387</v>
      </c>
      <c r="E567" s="191">
        <v>400</v>
      </c>
      <c r="F567" s="334">
        <f t="shared" si="19"/>
        <v>59.26</v>
      </c>
      <c r="G567" s="334">
        <f t="shared" si="20"/>
        <v>39.02</v>
      </c>
    </row>
    <row r="568" spans="1:7" s="332" customFormat="1" ht="19.5" customHeight="1">
      <c r="A568" s="337" t="s">
        <v>450</v>
      </c>
      <c r="B568" s="165">
        <v>500</v>
      </c>
      <c r="C568" s="166">
        <v>318</v>
      </c>
      <c r="D568" s="166">
        <v>318</v>
      </c>
      <c r="E568" s="191">
        <v>318</v>
      </c>
      <c r="F568" s="334">
        <f t="shared" si="19"/>
        <v>63.6</v>
      </c>
      <c r="G568" s="334">
        <f t="shared" si="20"/>
        <v>100</v>
      </c>
    </row>
    <row r="569" spans="1:7" s="332" customFormat="1" ht="19.5" customHeight="1">
      <c r="A569" s="337" t="s">
        <v>588</v>
      </c>
      <c r="B569" s="194">
        <f>B570+B578+B580+B576</f>
        <v>3340</v>
      </c>
      <c r="C569" s="165">
        <v>4296</v>
      </c>
      <c r="D569" s="194">
        <v>4296</v>
      </c>
      <c r="E569" s="194">
        <f>E570+E578+E580+E576-1</f>
        <v>3773</v>
      </c>
      <c r="F569" s="334">
        <f t="shared" si="19"/>
        <v>112.96</v>
      </c>
      <c r="G569" s="334">
        <f t="shared" si="20"/>
        <v>87.83</v>
      </c>
    </row>
    <row r="570" spans="1:7" s="332" customFormat="1" ht="19.5" customHeight="1">
      <c r="A570" s="337" t="s">
        <v>244</v>
      </c>
      <c r="B570" s="194">
        <f>B571+B572+B573+B575+B574+1</f>
        <v>3310</v>
      </c>
      <c r="C570" s="166">
        <v>4219</v>
      </c>
      <c r="D570" s="194">
        <v>4219</v>
      </c>
      <c r="E570" s="194">
        <f>E571+E572+E573+E575+E574</f>
        <v>3706</v>
      </c>
      <c r="F570" s="334">
        <f t="shared" si="19"/>
        <v>111.96</v>
      </c>
      <c r="G570" s="334">
        <f t="shared" si="20"/>
        <v>87.84</v>
      </c>
    </row>
    <row r="571" spans="1:7" s="332" customFormat="1" ht="19.5" customHeight="1">
      <c r="A571" s="337" t="s">
        <v>451</v>
      </c>
      <c r="B571" s="165"/>
      <c r="C571" s="166">
        <v>0</v>
      </c>
      <c r="D571" s="166">
        <v>0</v>
      </c>
      <c r="E571" s="191">
        <v>0</v>
      </c>
      <c r="F571" s="334">
        <f t="shared" si="19"/>
        <v>0</v>
      </c>
      <c r="G571" s="334">
        <f t="shared" si="20"/>
        <v>0</v>
      </c>
    </row>
    <row r="572" spans="1:7" s="332" customFormat="1" ht="19.5" customHeight="1">
      <c r="A572" s="337" t="s">
        <v>452</v>
      </c>
      <c r="B572" s="165">
        <v>2000</v>
      </c>
      <c r="C572" s="166">
        <v>2939</v>
      </c>
      <c r="D572" s="166">
        <v>2939</v>
      </c>
      <c r="E572" s="191">
        <v>2647</v>
      </c>
      <c r="F572" s="334">
        <f t="shared" si="19"/>
        <v>132.35</v>
      </c>
      <c r="G572" s="334">
        <f t="shared" si="20"/>
        <v>90.06</v>
      </c>
    </row>
    <row r="573" spans="1:7" s="332" customFormat="1" ht="19.5" customHeight="1">
      <c r="A573" s="337" t="s">
        <v>453</v>
      </c>
      <c r="B573" s="165"/>
      <c r="C573" s="166">
        <v>284</v>
      </c>
      <c r="D573" s="166"/>
      <c r="E573" s="191"/>
      <c r="F573" s="334">
        <f aca="true" t="shared" si="21" ref="F573:F645">IF(B573=0,0,E573/B573*100)</f>
        <v>0</v>
      </c>
      <c r="G573" s="334">
        <f aca="true" t="shared" si="22" ref="G573:G645">IF(E573=0,0,E573/C573*100)</f>
        <v>0</v>
      </c>
    </row>
    <row r="574" spans="1:7" s="332" customFormat="1" ht="19.5" customHeight="1">
      <c r="A574" s="347" t="s">
        <v>1061</v>
      </c>
      <c r="B574" s="165"/>
      <c r="C574" s="166"/>
      <c r="D574" s="166">
        <v>284</v>
      </c>
      <c r="E574" s="191">
        <v>284</v>
      </c>
      <c r="F574" s="334"/>
      <c r="G574" s="334"/>
    </row>
    <row r="575" spans="1:7" s="332" customFormat="1" ht="19.5" customHeight="1">
      <c r="A575" s="337" t="s">
        <v>454</v>
      </c>
      <c r="B575" s="165">
        <v>1309</v>
      </c>
      <c r="C575" s="166">
        <v>995</v>
      </c>
      <c r="D575" s="166">
        <v>995</v>
      </c>
      <c r="E575" s="191">
        <v>775</v>
      </c>
      <c r="F575" s="334">
        <f t="shared" si="21"/>
        <v>59.21</v>
      </c>
      <c r="G575" s="334">
        <f t="shared" si="22"/>
        <v>77.89</v>
      </c>
    </row>
    <row r="576" spans="1:7" s="332" customFormat="1" ht="19.5" customHeight="1">
      <c r="A576" s="164" t="s">
        <v>1019</v>
      </c>
      <c r="B576" s="165"/>
      <c r="C576" s="166">
        <v>38</v>
      </c>
      <c r="D576" s="166">
        <v>38</v>
      </c>
      <c r="E576" s="166">
        <f>E577</f>
        <v>38</v>
      </c>
      <c r="F576" s="334"/>
      <c r="G576" s="334"/>
    </row>
    <row r="577" spans="1:7" s="332" customFormat="1" ht="19.5" customHeight="1">
      <c r="A577" s="164" t="s">
        <v>1020</v>
      </c>
      <c r="B577" s="165"/>
      <c r="C577" s="166">
        <v>38</v>
      </c>
      <c r="D577" s="166">
        <v>38</v>
      </c>
      <c r="E577" s="191">
        <v>38</v>
      </c>
      <c r="F577" s="334"/>
      <c r="G577" s="334"/>
    </row>
    <row r="578" spans="1:7" s="332" customFormat="1" ht="19.5" customHeight="1">
      <c r="A578" s="337" t="s">
        <v>455</v>
      </c>
      <c r="B578" s="194">
        <v>0</v>
      </c>
      <c r="C578" s="166">
        <v>10</v>
      </c>
      <c r="D578" s="194">
        <v>10</v>
      </c>
      <c r="E578" s="194">
        <f>E579</f>
        <v>0</v>
      </c>
      <c r="F578" s="334">
        <f t="shared" si="21"/>
        <v>0</v>
      </c>
      <c r="G578" s="334">
        <f t="shared" si="22"/>
        <v>0</v>
      </c>
    </row>
    <row r="579" spans="1:7" s="332" customFormat="1" ht="19.5" customHeight="1">
      <c r="A579" s="337" t="s">
        <v>456</v>
      </c>
      <c r="B579" s="194">
        <v>0</v>
      </c>
      <c r="C579" s="166">
        <v>10</v>
      </c>
      <c r="D579" s="194">
        <v>10</v>
      </c>
      <c r="E579" s="194">
        <v>0</v>
      </c>
      <c r="F579" s="334">
        <f t="shared" si="21"/>
        <v>0</v>
      </c>
      <c r="G579" s="334">
        <f t="shared" si="22"/>
        <v>0</v>
      </c>
    </row>
    <row r="580" spans="1:7" s="332" customFormat="1" ht="19.5" customHeight="1">
      <c r="A580" s="337" t="s">
        <v>457</v>
      </c>
      <c r="B580" s="194">
        <f>B581</f>
        <v>30</v>
      </c>
      <c r="C580" s="166">
        <v>30</v>
      </c>
      <c r="D580" s="194">
        <v>30</v>
      </c>
      <c r="E580" s="194">
        <f>E581</f>
        <v>30</v>
      </c>
      <c r="F580" s="334">
        <f t="shared" si="21"/>
        <v>100</v>
      </c>
      <c r="G580" s="334">
        <f t="shared" si="22"/>
        <v>100</v>
      </c>
    </row>
    <row r="581" spans="1:7" s="332" customFormat="1" ht="19.5" customHeight="1">
      <c r="A581" s="337" t="s">
        <v>458</v>
      </c>
      <c r="B581" s="165">
        <v>30</v>
      </c>
      <c r="C581" s="166">
        <v>30</v>
      </c>
      <c r="D581" s="166">
        <v>30</v>
      </c>
      <c r="E581" s="191">
        <v>30</v>
      </c>
      <c r="F581" s="334">
        <f t="shared" si="21"/>
        <v>100</v>
      </c>
      <c r="G581" s="334">
        <f t="shared" si="22"/>
        <v>100</v>
      </c>
    </row>
    <row r="582" spans="1:7" s="332" customFormat="1" ht="19.5" customHeight="1">
      <c r="A582" s="337" t="s">
        <v>589</v>
      </c>
      <c r="B582" s="194">
        <f>B583+B586+B590+B594</f>
        <v>6479</v>
      </c>
      <c r="C582" s="165">
        <v>11334</v>
      </c>
      <c r="D582" s="194">
        <v>20817</v>
      </c>
      <c r="E582" s="194">
        <f>E583+E586+E590+E594+1</f>
        <v>12937</v>
      </c>
      <c r="F582" s="334">
        <f t="shared" si="21"/>
        <v>199.68</v>
      </c>
      <c r="G582" s="334">
        <f t="shared" si="22"/>
        <v>114.14</v>
      </c>
    </row>
    <row r="583" spans="1:7" s="332" customFormat="1" ht="19.5" customHeight="1">
      <c r="A583" s="337" t="s">
        <v>459</v>
      </c>
      <c r="B583" s="194">
        <f>B584+B585</f>
        <v>0</v>
      </c>
      <c r="C583" s="166">
        <v>282.5</v>
      </c>
      <c r="D583" s="194">
        <v>443</v>
      </c>
      <c r="E583" s="194">
        <f>E584+E585</f>
        <v>260</v>
      </c>
      <c r="F583" s="334">
        <f t="shared" si="21"/>
        <v>0</v>
      </c>
      <c r="G583" s="334">
        <f t="shared" si="22"/>
        <v>92.04</v>
      </c>
    </row>
    <row r="584" spans="1:7" s="332" customFormat="1" ht="19.5" customHeight="1">
      <c r="A584" s="337" t="s">
        <v>460</v>
      </c>
      <c r="B584" s="165"/>
      <c r="C584" s="166">
        <v>260</v>
      </c>
      <c r="D584" s="166">
        <v>420</v>
      </c>
      <c r="E584" s="191">
        <v>260</v>
      </c>
      <c r="F584" s="334">
        <f t="shared" si="21"/>
        <v>0</v>
      </c>
      <c r="G584" s="334">
        <f t="shared" si="22"/>
        <v>100</v>
      </c>
    </row>
    <row r="585" spans="1:7" s="332" customFormat="1" ht="19.5" customHeight="1">
      <c r="A585" s="337" t="s">
        <v>461</v>
      </c>
      <c r="B585" s="165"/>
      <c r="C585" s="166">
        <v>22.5</v>
      </c>
      <c r="D585" s="166">
        <v>23</v>
      </c>
      <c r="E585" s="191">
        <v>0</v>
      </c>
      <c r="F585" s="334">
        <f t="shared" si="21"/>
        <v>0</v>
      </c>
      <c r="G585" s="334">
        <f t="shared" si="22"/>
        <v>0</v>
      </c>
    </row>
    <row r="586" spans="1:7" s="332" customFormat="1" ht="19.5" customHeight="1">
      <c r="A586" s="337" t="s">
        <v>246</v>
      </c>
      <c r="B586" s="194">
        <f>B587+B588+B589</f>
        <v>2414</v>
      </c>
      <c r="C586" s="166">
        <v>3383</v>
      </c>
      <c r="D586" s="194">
        <v>3389</v>
      </c>
      <c r="E586" s="194">
        <f>E587+E588+E589</f>
        <v>2983</v>
      </c>
      <c r="F586" s="334">
        <f t="shared" si="21"/>
        <v>123.57</v>
      </c>
      <c r="G586" s="334">
        <f t="shared" si="22"/>
        <v>88.18</v>
      </c>
    </row>
    <row r="587" spans="1:7" s="332" customFormat="1" ht="19.5" customHeight="1">
      <c r="A587" s="337" t="s">
        <v>462</v>
      </c>
      <c r="B587" s="165">
        <v>2400</v>
      </c>
      <c r="C587" s="166">
        <v>3005</v>
      </c>
      <c r="D587" s="166">
        <v>3005</v>
      </c>
      <c r="E587" s="191">
        <v>2605</v>
      </c>
      <c r="F587" s="334">
        <f t="shared" si="21"/>
        <v>108.54</v>
      </c>
      <c r="G587" s="334">
        <f t="shared" si="22"/>
        <v>86.69</v>
      </c>
    </row>
    <row r="588" spans="1:7" s="332" customFormat="1" ht="19.5" customHeight="1">
      <c r="A588" s="337" t="s">
        <v>463</v>
      </c>
      <c r="B588" s="165"/>
      <c r="C588" s="166">
        <v>360</v>
      </c>
      <c r="D588" s="166">
        <v>366</v>
      </c>
      <c r="E588" s="191">
        <v>360</v>
      </c>
      <c r="F588" s="334">
        <f t="shared" si="21"/>
        <v>0</v>
      </c>
      <c r="G588" s="334">
        <f t="shared" si="22"/>
        <v>100</v>
      </c>
    </row>
    <row r="589" spans="1:7" s="332" customFormat="1" ht="19.5" customHeight="1">
      <c r="A589" s="337" t="s">
        <v>464</v>
      </c>
      <c r="B589" s="165">
        <v>14</v>
      </c>
      <c r="C589" s="166">
        <v>18.28</v>
      </c>
      <c r="D589" s="166">
        <v>18</v>
      </c>
      <c r="E589" s="191">
        <v>18</v>
      </c>
      <c r="F589" s="334">
        <f t="shared" si="21"/>
        <v>128.57</v>
      </c>
      <c r="G589" s="334">
        <f t="shared" si="22"/>
        <v>98.47</v>
      </c>
    </row>
    <row r="590" spans="1:7" s="332" customFormat="1" ht="19.5" customHeight="1">
      <c r="A590" s="337" t="s">
        <v>248</v>
      </c>
      <c r="B590" s="194">
        <f>B591+B592+B593</f>
        <v>4065</v>
      </c>
      <c r="C590" s="166">
        <v>6303</v>
      </c>
      <c r="D590" s="194">
        <v>13517</v>
      </c>
      <c r="E590" s="194">
        <f>E591+E592+E593</f>
        <v>6840</v>
      </c>
      <c r="F590" s="334">
        <f t="shared" si="21"/>
        <v>168.27</v>
      </c>
      <c r="G590" s="334">
        <f t="shared" si="22"/>
        <v>108.52</v>
      </c>
    </row>
    <row r="591" spans="1:7" s="332" customFormat="1" ht="19.5" customHeight="1">
      <c r="A591" s="337" t="s">
        <v>465</v>
      </c>
      <c r="B591" s="165">
        <v>10</v>
      </c>
      <c r="C591" s="166">
        <v>10</v>
      </c>
      <c r="D591" s="166">
        <v>10</v>
      </c>
      <c r="E591" s="191">
        <v>10</v>
      </c>
      <c r="F591" s="334">
        <f t="shared" si="21"/>
        <v>100</v>
      </c>
      <c r="G591" s="334">
        <f t="shared" si="22"/>
        <v>100</v>
      </c>
    </row>
    <row r="592" spans="1:7" s="332" customFormat="1" ht="19.5" customHeight="1">
      <c r="A592" s="337" t="s">
        <v>466</v>
      </c>
      <c r="B592" s="165">
        <v>1050</v>
      </c>
      <c r="C592" s="166">
        <v>5344.84</v>
      </c>
      <c r="D592" s="166">
        <v>12559</v>
      </c>
      <c r="E592" s="191">
        <v>5882</v>
      </c>
      <c r="F592" s="334">
        <f t="shared" si="21"/>
        <v>560.19</v>
      </c>
      <c r="G592" s="334">
        <f t="shared" si="22"/>
        <v>110.05</v>
      </c>
    </row>
    <row r="593" spans="1:7" s="332" customFormat="1" ht="19.5" customHeight="1">
      <c r="A593" s="337" t="s">
        <v>250</v>
      </c>
      <c r="B593" s="165">
        <v>3005</v>
      </c>
      <c r="C593" s="166">
        <v>948</v>
      </c>
      <c r="D593" s="166">
        <v>948</v>
      </c>
      <c r="E593" s="191">
        <v>948</v>
      </c>
      <c r="F593" s="334">
        <f t="shared" si="21"/>
        <v>31.55</v>
      </c>
      <c r="G593" s="334">
        <f t="shared" si="22"/>
        <v>100</v>
      </c>
    </row>
    <row r="594" spans="1:7" s="332" customFormat="1" ht="19.5" customHeight="1">
      <c r="A594" s="337" t="s">
        <v>467</v>
      </c>
      <c r="B594" s="194">
        <v>0</v>
      </c>
      <c r="C594" s="166">
        <v>1365</v>
      </c>
      <c r="D594" s="194">
        <v>3468</v>
      </c>
      <c r="E594" s="194">
        <f>E595+E596</f>
        <v>2853</v>
      </c>
      <c r="F594" s="334">
        <f t="shared" si="21"/>
        <v>0</v>
      </c>
      <c r="G594" s="334">
        <f t="shared" si="22"/>
        <v>209.01</v>
      </c>
    </row>
    <row r="595" spans="1:7" s="332" customFormat="1" ht="19.5" customHeight="1">
      <c r="A595" s="337" t="s">
        <v>468</v>
      </c>
      <c r="B595" s="165"/>
      <c r="C595" s="166">
        <v>1350</v>
      </c>
      <c r="D595" s="166">
        <v>3453</v>
      </c>
      <c r="E595" s="191">
        <v>2853</v>
      </c>
      <c r="F595" s="334">
        <f t="shared" si="21"/>
        <v>0</v>
      </c>
      <c r="G595" s="334">
        <f t="shared" si="22"/>
        <v>211.33</v>
      </c>
    </row>
    <row r="596" spans="1:7" s="332" customFormat="1" ht="19.5" customHeight="1">
      <c r="A596" s="337" t="s">
        <v>469</v>
      </c>
      <c r="B596" s="165"/>
      <c r="C596" s="166">
        <v>15</v>
      </c>
      <c r="D596" s="166">
        <v>15</v>
      </c>
      <c r="E596" s="191">
        <v>0</v>
      </c>
      <c r="F596" s="334">
        <f t="shared" si="21"/>
        <v>0</v>
      </c>
      <c r="G596" s="334">
        <f t="shared" si="22"/>
        <v>0</v>
      </c>
    </row>
    <row r="597" spans="1:7" s="332" customFormat="1" ht="19.5" customHeight="1">
      <c r="A597" s="337" t="s">
        <v>590</v>
      </c>
      <c r="B597" s="194">
        <f>B598+B600+B605+B607</f>
        <v>4145</v>
      </c>
      <c r="C597" s="165">
        <v>10384</v>
      </c>
      <c r="D597" s="194">
        <v>10976</v>
      </c>
      <c r="E597" s="194">
        <f>E598+E600+E605+E607</f>
        <v>8316</v>
      </c>
      <c r="F597" s="334">
        <f t="shared" si="21"/>
        <v>200.63</v>
      </c>
      <c r="G597" s="334">
        <f t="shared" si="22"/>
        <v>80.08</v>
      </c>
    </row>
    <row r="598" spans="1:7" s="332" customFormat="1" ht="19.5" customHeight="1">
      <c r="A598" s="337" t="s">
        <v>251</v>
      </c>
      <c r="B598" s="194">
        <f>B599</f>
        <v>1225</v>
      </c>
      <c r="C598" s="166">
        <v>7347</v>
      </c>
      <c r="D598" s="194">
        <v>7947</v>
      </c>
      <c r="E598" s="194">
        <f>E599</f>
        <v>6250</v>
      </c>
      <c r="F598" s="334">
        <f t="shared" si="21"/>
        <v>510.2</v>
      </c>
      <c r="G598" s="334">
        <f t="shared" si="22"/>
        <v>85.07</v>
      </c>
    </row>
    <row r="599" spans="1:7" s="332" customFormat="1" ht="19.5" customHeight="1">
      <c r="A599" s="337" t="s">
        <v>470</v>
      </c>
      <c r="B599" s="165">
        <v>1225</v>
      </c>
      <c r="C599" s="166">
        <v>7347</v>
      </c>
      <c r="D599" s="166">
        <v>7947</v>
      </c>
      <c r="E599" s="191">
        <v>6250</v>
      </c>
      <c r="F599" s="334">
        <f t="shared" si="21"/>
        <v>510.2</v>
      </c>
      <c r="G599" s="334">
        <f t="shared" si="22"/>
        <v>85.07</v>
      </c>
    </row>
    <row r="600" spans="1:7" s="332" customFormat="1" ht="19.5" customHeight="1">
      <c r="A600" s="337" t="s">
        <v>471</v>
      </c>
      <c r="B600" s="194">
        <f>B601+B602+B603+B604</f>
        <v>2820</v>
      </c>
      <c r="C600" s="166">
        <v>1389</v>
      </c>
      <c r="D600" s="194">
        <v>1389</v>
      </c>
      <c r="E600" s="194">
        <f>E601+E602+E603+E604</f>
        <v>1324</v>
      </c>
      <c r="F600" s="334">
        <f t="shared" si="21"/>
        <v>46.95</v>
      </c>
      <c r="G600" s="334">
        <f t="shared" si="22"/>
        <v>95.32</v>
      </c>
    </row>
    <row r="601" spans="1:7" s="332" customFormat="1" ht="19.5" customHeight="1">
      <c r="A601" s="337" t="s">
        <v>472</v>
      </c>
      <c r="B601" s="165">
        <v>70</v>
      </c>
      <c r="C601" s="166">
        <v>70</v>
      </c>
      <c r="D601" s="166">
        <v>70</v>
      </c>
      <c r="E601" s="191">
        <v>70</v>
      </c>
      <c r="F601" s="334">
        <f t="shared" si="21"/>
        <v>100</v>
      </c>
      <c r="G601" s="334">
        <f t="shared" si="22"/>
        <v>100</v>
      </c>
    </row>
    <row r="602" spans="1:7" s="332" customFormat="1" ht="19.5" customHeight="1">
      <c r="A602" s="337" t="s">
        <v>473</v>
      </c>
      <c r="B602" s="165">
        <v>200</v>
      </c>
      <c r="C602" s="166">
        <v>0</v>
      </c>
      <c r="D602" s="166">
        <v>0</v>
      </c>
      <c r="E602" s="191">
        <v>0</v>
      </c>
      <c r="F602" s="334">
        <f t="shared" si="21"/>
        <v>0</v>
      </c>
      <c r="G602" s="334">
        <f t="shared" si="22"/>
        <v>0</v>
      </c>
    </row>
    <row r="603" spans="1:7" s="332" customFormat="1" ht="19.5" customHeight="1">
      <c r="A603" s="337" t="s">
        <v>474</v>
      </c>
      <c r="B603" s="165"/>
      <c r="C603" s="166">
        <v>0</v>
      </c>
      <c r="D603" s="166">
        <v>0</v>
      </c>
      <c r="E603" s="191">
        <v>0</v>
      </c>
      <c r="F603" s="334">
        <f t="shared" si="21"/>
        <v>0</v>
      </c>
      <c r="G603" s="334">
        <f t="shared" si="22"/>
        <v>0</v>
      </c>
    </row>
    <row r="604" spans="1:7" s="332" customFormat="1" ht="19.5" customHeight="1">
      <c r="A604" s="337" t="s">
        <v>475</v>
      </c>
      <c r="B604" s="165">
        <v>2550</v>
      </c>
      <c r="C604" s="166">
        <v>1319</v>
      </c>
      <c r="D604" s="166">
        <v>1319</v>
      </c>
      <c r="E604" s="191">
        <v>1254</v>
      </c>
      <c r="F604" s="334">
        <f t="shared" si="21"/>
        <v>49.18</v>
      </c>
      <c r="G604" s="334">
        <f t="shared" si="22"/>
        <v>95.07</v>
      </c>
    </row>
    <row r="605" spans="1:7" s="332" customFormat="1" ht="19.5" customHeight="1">
      <c r="A605" s="337" t="s">
        <v>476</v>
      </c>
      <c r="B605" s="194">
        <f>B606</f>
        <v>0</v>
      </c>
      <c r="C605" s="166">
        <v>1104</v>
      </c>
      <c r="D605" s="194">
        <v>1096</v>
      </c>
      <c r="E605" s="194">
        <f>E606</f>
        <v>585</v>
      </c>
      <c r="F605" s="334">
        <f t="shared" si="21"/>
        <v>0</v>
      </c>
      <c r="G605" s="334">
        <f t="shared" si="22"/>
        <v>52.99</v>
      </c>
    </row>
    <row r="606" spans="1:7" s="332" customFormat="1" ht="19.5" customHeight="1">
      <c r="A606" s="337" t="s">
        <v>477</v>
      </c>
      <c r="B606" s="165"/>
      <c r="C606" s="166">
        <v>1104</v>
      </c>
      <c r="D606" s="166">
        <v>1096</v>
      </c>
      <c r="E606" s="191">
        <v>585</v>
      </c>
      <c r="F606" s="334">
        <f t="shared" si="21"/>
        <v>0</v>
      </c>
      <c r="G606" s="334">
        <f t="shared" si="22"/>
        <v>52.99</v>
      </c>
    </row>
    <row r="607" spans="1:7" s="332" customFormat="1" ht="19.5" customHeight="1">
      <c r="A607" s="337" t="s">
        <v>478</v>
      </c>
      <c r="B607" s="194">
        <f>B608+B609</f>
        <v>100</v>
      </c>
      <c r="C607" s="166">
        <v>544</v>
      </c>
      <c r="D607" s="194">
        <v>544</v>
      </c>
      <c r="E607" s="194">
        <f>E608+E609</f>
        <v>157</v>
      </c>
      <c r="F607" s="334">
        <f t="shared" si="21"/>
        <v>157</v>
      </c>
      <c r="G607" s="334">
        <f t="shared" si="22"/>
        <v>28.86</v>
      </c>
    </row>
    <row r="608" spans="1:7" s="332" customFormat="1" ht="19.5" customHeight="1">
      <c r="A608" s="337" t="s">
        <v>479</v>
      </c>
      <c r="B608" s="165"/>
      <c r="C608" s="166">
        <v>300</v>
      </c>
      <c r="D608" s="166">
        <v>300</v>
      </c>
      <c r="E608" s="191">
        <v>7</v>
      </c>
      <c r="F608" s="334">
        <f t="shared" si="21"/>
        <v>0</v>
      </c>
      <c r="G608" s="334">
        <f t="shared" si="22"/>
        <v>2.33</v>
      </c>
    </row>
    <row r="609" spans="1:7" s="332" customFormat="1" ht="19.5" customHeight="1">
      <c r="A609" s="337" t="s">
        <v>480</v>
      </c>
      <c r="B609" s="165">
        <v>100</v>
      </c>
      <c r="C609" s="166">
        <v>244</v>
      </c>
      <c r="D609" s="166">
        <v>244</v>
      </c>
      <c r="E609" s="191">
        <v>150</v>
      </c>
      <c r="F609" s="334">
        <f t="shared" si="21"/>
        <v>150</v>
      </c>
      <c r="G609" s="334">
        <f t="shared" si="22"/>
        <v>61.48</v>
      </c>
    </row>
    <row r="610" spans="1:7" s="332" customFormat="1" ht="19.5" customHeight="1">
      <c r="A610" s="337" t="s">
        <v>595</v>
      </c>
      <c r="B610" s="194">
        <f>B611</f>
        <v>16</v>
      </c>
      <c r="C610" s="166">
        <v>23</v>
      </c>
      <c r="D610" s="194">
        <v>23</v>
      </c>
      <c r="E610" s="194">
        <f>E611</f>
        <v>23</v>
      </c>
      <c r="F610" s="334">
        <f t="shared" si="21"/>
        <v>143.75</v>
      </c>
      <c r="G610" s="334">
        <f t="shared" si="22"/>
        <v>100</v>
      </c>
    </row>
    <row r="611" spans="1:7" s="332" customFormat="1" ht="19.5" customHeight="1">
      <c r="A611" s="337" t="s">
        <v>481</v>
      </c>
      <c r="B611" s="194">
        <v>16</v>
      </c>
      <c r="C611" s="166">
        <v>23</v>
      </c>
      <c r="D611" s="194">
        <v>23</v>
      </c>
      <c r="E611" s="194">
        <f>E612</f>
        <v>23</v>
      </c>
      <c r="F611" s="334">
        <f t="shared" si="21"/>
        <v>143.75</v>
      </c>
      <c r="G611" s="334">
        <f t="shared" si="22"/>
        <v>100</v>
      </c>
    </row>
    <row r="612" spans="1:7" s="332" customFormat="1" ht="19.5" customHeight="1">
      <c r="A612" s="337" t="s">
        <v>482</v>
      </c>
      <c r="B612" s="165">
        <v>16</v>
      </c>
      <c r="C612" s="166">
        <v>23</v>
      </c>
      <c r="D612" s="166">
        <v>23</v>
      </c>
      <c r="E612" s="191">
        <v>23</v>
      </c>
      <c r="F612" s="334">
        <f t="shared" si="21"/>
        <v>143.75</v>
      </c>
      <c r="G612" s="334">
        <f t="shared" si="22"/>
        <v>100</v>
      </c>
    </row>
    <row r="613" spans="1:7" s="332" customFormat="1" ht="19.5" customHeight="1">
      <c r="A613" s="337" t="s">
        <v>483</v>
      </c>
      <c r="B613" s="194">
        <f>B614+B615+B616+B617</f>
        <v>0</v>
      </c>
      <c r="C613" s="166">
        <v>2800</v>
      </c>
      <c r="D613" s="194">
        <v>2800</v>
      </c>
      <c r="E613" s="194">
        <f>E614+E615+E616+E617</f>
        <v>2800</v>
      </c>
      <c r="F613" s="334">
        <f t="shared" si="21"/>
        <v>0</v>
      </c>
      <c r="G613" s="334">
        <f t="shared" si="22"/>
        <v>100</v>
      </c>
    </row>
    <row r="614" spans="1:7" s="332" customFormat="1" ht="19.5" customHeight="1">
      <c r="A614" s="164" t="s">
        <v>1021</v>
      </c>
      <c r="B614" s="165"/>
      <c r="C614" s="166">
        <v>1060</v>
      </c>
      <c r="D614" s="166">
        <v>1060</v>
      </c>
      <c r="E614" s="191">
        <v>1060</v>
      </c>
      <c r="F614" s="334">
        <f t="shared" si="21"/>
        <v>0</v>
      </c>
      <c r="G614" s="334">
        <f t="shared" si="22"/>
        <v>100</v>
      </c>
    </row>
    <row r="615" spans="1:7" s="332" customFormat="1" ht="19.5" customHeight="1">
      <c r="A615" s="164" t="s">
        <v>1022</v>
      </c>
      <c r="B615" s="165"/>
      <c r="C615" s="166">
        <v>520</v>
      </c>
      <c r="D615" s="166">
        <v>520</v>
      </c>
      <c r="E615" s="191">
        <v>520</v>
      </c>
      <c r="F615" s="334">
        <f t="shared" si="21"/>
        <v>0</v>
      </c>
      <c r="G615" s="334">
        <f t="shared" si="22"/>
        <v>100</v>
      </c>
    </row>
    <row r="616" spans="1:7" s="332" customFormat="1" ht="19.5" customHeight="1">
      <c r="A616" s="164" t="s">
        <v>1023</v>
      </c>
      <c r="B616" s="165"/>
      <c r="C616" s="166">
        <v>620</v>
      </c>
      <c r="D616" s="166">
        <v>620</v>
      </c>
      <c r="E616" s="191">
        <v>620</v>
      </c>
      <c r="F616" s="334">
        <f t="shared" si="21"/>
        <v>0</v>
      </c>
      <c r="G616" s="334">
        <f t="shared" si="22"/>
        <v>100</v>
      </c>
    </row>
    <row r="617" spans="1:7" s="332" customFormat="1" ht="19.5" customHeight="1">
      <c r="A617" s="164" t="s">
        <v>1024</v>
      </c>
      <c r="B617" s="165"/>
      <c r="C617" s="166">
        <v>600</v>
      </c>
      <c r="D617" s="166">
        <v>600</v>
      </c>
      <c r="E617" s="191">
        <v>600</v>
      </c>
      <c r="F617" s="334">
        <f t="shared" si="21"/>
        <v>0</v>
      </c>
      <c r="G617" s="334">
        <f t="shared" si="22"/>
        <v>100</v>
      </c>
    </row>
    <row r="618" spans="1:7" s="332" customFormat="1" ht="19.5" customHeight="1">
      <c r="A618" s="337" t="s">
        <v>591</v>
      </c>
      <c r="B618" s="194">
        <f>B619+B624+B628+1</f>
        <v>3311</v>
      </c>
      <c r="C618" s="165">
        <v>3082</v>
      </c>
      <c r="D618" s="194">
        <v>5687</v>
      </c>
      <c r="E618" s="194">
        <f>E619+E624+E628</f>
        <v>2428</v>
      </c>
      <c r="F618" s="334">
        <f t="shared" si="21"/>
        <v>73.33</v>
      </c>
      <c r="G618" s="334">
        <f t="shared" si="22"/>
        <v>78.78</v>
      </c>
    </row>
    <row r="619" spans="1:7" s="332" customFormat="1" ht="19.5" customHeight="1">
      <c r="A619" s="337" t="s">
        <v>254</v>
      </c>
      <c r="B619" s="194">
        <f>B620+B621+B622+B623</f>
        <v>3106</v>
      </c>
      <c r="C619" s="166">
        <v>2851</v>
      </c>
      <c r="D619" s="194">
        <v>5456</v>
      </c>
      <c r="E619" s="194">
        <f>E620+E621+E622+E623</f>
        <v>2232</v>
      </c>
      <c r="F619" s="334">
        <f t="shared" si="21"/>
        <v>71.86</v>
      </c>
      <c r="G619" s="334">
        <f t="shared" si="22"/>
        <v>78.29</v>
      </c>
    </row>
    <row r="620" spans="1:7" s="332" customFormat="1" ht="19.5" customHeight="1">
      <c r="A620" s="337" t="s">
        <v>484</v>
      </c>
      <c r="B620" s="165">
        <v>201</v>
      </c>
      <c r="C620" s="166">
        <v>15</v>
      </c>
      <c r="D620" s="166">
        <v>15</v>
      </c>
      <c r="E620" s="191">
        <v>15</v>
      </c>
      <c r="F620" s="334">
        <f t="shared" si="21"/>
        <v>7.46</v>
      </c>
      <c r="G620" s="334">
        <f t="shared" si="22"/>
        <v>100</v>
      </c>
    </row>
    <row r="621" spans="1:7" s="332" customFormat="1" ht="19.5" customHeight="1">
      <c r="A621" s="164" t="s">
        <v>1025</v>
      </c>
      <c r="B621" s="165">
        <v>100</v>
      </c>
      <c r="C621" s="166">
        <v>93</v>
      </c>
      <c r="D621" s="166">
        <v>93</v>
      </c>
      <c r="E621" s="191">
        <v>93</v>
      </c>
      <c r="F621" s="334">
        <f t="shared" si="21"/>
        <v>93</v>
      </c>
      <c r="G621" s="334">
        <f t="shared" si="22"/>
        <v>100</v>
      </c>
    </row>
    <row r="622" spans="1:7" s="332" customFormat="1" ht="19.5" customHeight="1">
      <c r="A622" s="164" t="s">
        <v>1026</v>
      </c>
      <c r="B622" s="165">
        <v>560</v>
      </c>
      <c r="C622" s="166">
        <v>300</v>
      </c>
      <c r="D622" s="166">
        <v>2905</v>
      </c>
      <c r="E622" s="191">
        <v>300</v>
      </c>
      <c r="F622" s="334">
        <f t="shared" si="21"/>
        <v>53.57</v>
      </c>
      <c r="G622" s="334">
        <f t="shared" si="22"/>
        <v>100</v>
      </c>
    </row>
    <row r="623" spans="1:7" s="332" customFormat="1" ht="19.5" customHeight="1">
      <c r="A623" s="337" t="s">
        <v>485</v>
      </c>
      <c r="B623" s="165">
        <v>2245</v>
      </c>
      <c r="C623" s="166">
        <v>2444</v>
      </c>
      <c r="D623" s="166">
        <v>2444</v>
      </c>
      <c r="E623" s="191">
        <v>1824</v>
      </c>
      <c r="F623" s="334">
        <f t="shared" si="21"/>
        <v>81.25</v>
      </c>
      <c r="G623" s="334">
        <f t="shared" si="22"/>
        <v>74.63</v>
      </c>
    </row>
    <row r="624" spans="1:7" s="332" customFormat="1" ht="19.5" customHeight="1">
      <c r="A624" s="337" t="s">
        <v>257</v>
      </c>
      <c r="B624" s="194">
        <f>B625+B626+B627</f>
        <v>65</v>
      </c>
      <c r="C624" s="166">
        <v>19</v>
      </c>
      <c r="D624" s="194">
        <v>19</v>
      </c>
      <c r="E624" s="194">
        <f>E625+E626+E627</f>
        <v>18</v>
      </c>
      <c r="F624" s="334">
        <f t="shared" si="21"/>
        <v>27.69</v>
      </c>
      <c r="G624" s="334">
        <f t="shared" si="22"/>
        <v>94.74</v>
      </c>
    </row>
    <row r="625" spans="1:7" s="332" customFormat="1" ht="19.5" customHeight="1">
      <c r="A625" s="337" t="s">
        <v>486</v>
      </c>
      <c r="B625" s="165">
        <v>4</v>
      </c>
      <c r="C625" s="166">
        <v>4.32</v>
      </c>
      <c r="D625" s="166">
        <v>4</v>
      </c>
      <c r="E625" s="191">
        <v>4</v>
      </c>
      <c r="F625" s="334">
        <f t="shared" si="21"/>
        <v>100</v>
      </c>
      <c r="G625" s="334">
        <f t="shared" si="22"/>
        <v>92.59</v>
      </c>
    </row>
    <row r="626" spans="1:7" s="332" customFormat="1" ht="19.5" customHeight="1">
      <c r="A626" s="337" t="s">
        <v>487</v>
      </c>
      <c r="B626" s="165">
        <v>57</v>
      </c>
      <c r="C626" s="166">
        <v>10</v>
      </c>
      <c r="D626" s="166">
        <v>10</v>
      </c>
      <c r="E626" s="191">
        <v>10</v>
      </c>
      <c r="F626" s="334">
        <f t="shared" si="21"/>
        <v>17.54</v>
      </c>
      <c r="G626" s="334">
        <f t="shared" si="22"/>
        <v>100</v>
      </c>
    </row>
    <row r="627" spans="1:7" s="332" customFormat="1" ht="19.5" customHeight="1">
      <c r="A627" s="164" t="s">
        <v>1027</v>
      </c>
      <c r="B627" s="165">
        <v>4</v>
      </c>
      <c r="C627" s="166">
        <v>4</v>
      </c>
      <c r="D627" s="166">
        <v>4</v>
      </c>
      <c r="E627" s="191">
        <v>4</v>
      </c>
      <c r="F627" s="334">
        <f t="shared" si="21"/>
        <v>100</v>
      </c>
      <c r="G627" s="334">
        <f t="shared" si="22"/>
        <v>100</v>
      </c>
    </row>
    <row r="628" spans="1:7" s="332" customFormat="1" ht="19.5" customHeight="1">
      <c r="A628" s="337" t="s">
        <v>259</v>
      </c>
      <c r="B628" s="194">
        <f>B629</f>
        <v>139</v>
      </c>
      <c r="C628" s="166">
        <v>212</v>
      </c>
      <c r="D628" s="194">
        <v>212</v>
      </c>
      <c r="E628" s="194">
        <f>E629</f>
        <v>178</v>
      </c>
      <c r="F628" s="334">
        <f t="shared" si="21"/>
        <v>128.06</v>
      </c>
      <c r="G628" s="334">
        <f t="shared" si="22"/>
        <v>83.96</v>
      </c>
    </row>
    <row r="629" spans="1:7" s="332" customFormat="1" ht="19.5" customHeight="1">
      <c r="A629" s="337" t="s">
        <v>260</v>
      </c>
      <c r="B629" s="165">
        <v>139</v>
      </c>
      <c r="C629" s="166">
        <v>212</v>
      </c>
      <c r="D629" s="166">
        <v>212</v>
      </c>
      <c r="E629" s="191">
        <v>178</v>
      </c>
      <c r="F629" s="334">
        <f t="shared" si="21"/>
        <v>128.06</v>
      </c>
      <c r="G629" s="334">
        <f t="shared" si="22"/>
        <v>83.96</v>
      </c>
    </row>
    <row r="630" spans="1:7" s="332" customFormat="1" ht="19.5" customHeight="1">
      <c r="A630" s="342" t="s">
        <v>1069</v>
      </c>
      <c r="B630" s="194">
        <f>B631+B637</f>
        <v>10819</v>
      </c>
      <c r="C630" s="165">
        <v>12727</v>
      </c>
      <c r="D630" s="194">
        <v>13317</v>
      </c>
      <c r="E630" s="194">
        <f>E631+E637</f>
        <v>12692</v>
      </c>
      <c r="F630" s="334">
        <f t="shared" si="21"/>
        <v>117.31</v>
      </c>
      <c r="G630" s="334">
        <f t="shared" si="22"/>
        <v>99.72</v>
      </c>
    </row>
    <row r="631" spans="1:7" s="332" customFormat="1" ht="19.5" customHeight="1">
      <c r="A631" s="342" t="s">
        <v>1068</v>
      </c>
      <c r="B631" s="194">
        <f>B632+B633+B634</f>
        <v>8905</v>
      </c>
      <c r="C631" s="166">
        <v>11248.4</v>
      </c>
      <c r="D631" s="194">
        <v>11839</v>
      </c>
      <c r="E631" s="194">
        <f>E632+E633+E634</f>
        <v>11248</v>
      </c>
      <c r="F631" s="334">
        <f t="shared" si="21"/>
        <v>126.31</v>
      </c>
      <c r="G631" s="334">
        <f t="shared" si="22"/>
        <v>100</v>
      </c>
    </row>
    <row r="632" spans="1:7" s="332" customFormat="1" ht="19.5" customHeight="1">
      <c r="A632" s="342" t="s">
        <v>1067</v>
      </c>
      <c r="B632" s="165"/>
      <c r="C632" s="166">
        <v>8</v>
      </c>
      <c r="D632" s="166">
        <v>8</v>
      </c>
      <c r="E632" s="191">
        <v>8</v>
      </c>
      <c r="F632" s="334">
        <f t="shared" si="21"/>
        <v>0</v>
      </c>
      <c r="G632" s="334">
        <f t="shared" si="22"/>
        <v>100</v>
      </c>
    </row>
    <row r="633" spans="1:7" s="332" customFormat="1" ht="19.5" customHeight="1">
      <c r="A633" s="342" t="s">
        <v>1065</v>
      </c>
      <c r="B633" s="165"/>
      <c r="C633" s="166">
        <v>0</v>
      </c>
      <c r="D633" s="226">
        <v>0</v>
      </c>
      <c r="E633" s="194">
        <v>0</v>
      </c>
      <c r="F633" s="334">
        <f t="shared" si="21"/>
        <v>0</v>
      </c>
      <c r="G633" s="334">
        <f t="shared" si="22"/>
        <v>0</v>
      </c>
    </row>
    <row r="634" spans="1:7" s="332" customFormat="1" ht="19.5" customHeight="1">
      <c r="A634" s="342" t="s">
        <v>1066</v>
      </c>
      <c r="B634" s="165">
        <v>8905</v>
      </c>
      <c r="C634" s="166">
        <v>11240</v>
      </c>
      <c r="D634" s="166">
        <v>11830</v>
      </c>
      <c r="E634" s="191">
        <v>11240</v>
      </c>
      <c r="F634" s="334">
        <f t="shared" si="21"/>
        <v>126.22</v>
      </c>
      <c r="G634" s="334">
        <f t="shared" si="22"/>
        <v>100</v>
      </c>
    </row>
    <row r="635" spans="1:7" s="332" customFormat="1" ht="19.5" customHeight="1">
      <c r="A635" s="337" t="s">
        <v>488</v>
      </c>
      <c r="B635" s="194">
        <v>0</v>
      </c>
      <c r="C635" s="166"/>
      <c r="D635" s="194"/>
      <c r="E635" s="194">
        <v>0</v>
      </c>
      <c r="F635" s="334">
        <f t="shared" si="21"/>
        <v>0</v>
      </c>
      <c r="G635" s="334">
        <f t="shared" si="22"/>
        <v>0</v>
      </c>
    </row>
    <row r="636" spans="1:7" s="332" customFormat="1" ht="19.5" customHeight="1">
      <c r="A636" s="337" t="s">
        <v>489</v>
      </c>
      <c r="B636" s="194">
        <v>0</v>
      </c>
      <c r="C636" s="166"/>
      <c r="D636" s="194"/>
      <c r="E636" s="194">
        <v>0</v>
      </c>
      <c r="F636" s="334">
        <f t="shared" si="21"/>
        <v>0</v>
      </c>
      <c r="G636" s="334">
        <f t="shared" si="22"/>
        <v>0</v>
      </c>
    </row>
    <row r="637" spans="1:7" s="332" customFormat="1" ht="19.5" customHeight="1">
      <c r="A637" s="337" t="s">
        <v>490</v>
      </c>
      <c r="B637" s="194">
        <f>B638</f>
        <v>1914</v>
      </c>
      <c r="C637" s="166">
        <v>1479</v>
      </c>
      <c r="D637" s="194">
        <v>1479</v>
      </c>
      <c r="E637" s="194">
        <f>E638</f>
        <v>1444</v>
      </c>
      <c r="F637" s="334">
        <f t="shared" si="21"/>
        <v>75.44</v>
      </c>
      <c r="G637" s="334">
        <f t="shared" si="22"/>
        <v>97.63</v>
      </c>
    </row>
    <row r="638" spans="1:7" s="332" customFormat="1" ht="19.5" customHeight="1">
      <c r="A638" s="337" t="s">
        <v>491</v>
      </c>
      <c r="B638" s="165">
        <v>1914</v>
      </c>
      <c r="C638" s="166">
        <v>1479</v>
      </c>
      <c r="D638" s="166">
        <v>1479</v>
      </c>
      <c r="E638" s="191">
        <v>1444</v>
      </c>
      <c r="F638" s="334">
        <f t="shared" si="21"/>
        <v>75.44</v>
      </c>
      <c r="G638" s="334">
        <f t="shared" si="22"/>
        <v>97.63</v>
      </c>
    </row>
    <row r="639" spans="1:7" s="332" customFormat="1" ht="19.5" customHeight="1">
      <c r="A639" s="337" t="s">
        <v>592</v>
      </c>
      <c r="B639" s="194">
        <f>B640</f>
        <v>462</v>
      </c>
      <c r="C639" s="166">
        <v>462</v>
      </c>
      <c r="D639" s="194">
        <v>462</v>
      </c>
      <c r="E639" s="194">
        <f>E640-1</f>
        <v>460</v>
      </c>
      <c r="F639" s="334">
        <f t="shared" si="21"/>
        <v>99.57</v>
      </c>
      <c r="G639" s="334">
        <f t="shared" si="22"/>
        <v>99.57</v>
      </c>
    </row>
    <row r="640" spans="1:7" s="332" customFormat="1" ht="19.5" customHeight="1">
      <c r="A640" s="337" t="s">
        <v>262</v>
      </c>
      <c r="B640" s="194">
        <f>B641+B642</f>
        <v>462</v>
      </c>
      <c r="C640" s="166">
        <v>462</v>
      </c>
      <c r="D640" s="194">
        <v>462</v>
      </c>
      <c r="E640" s="194">
        <f>E641+E642</f>
        <v>461</v>
      </c>
      <c r="F640" s="334">
        <f t="shared" si="21"/>
        <v>99.78</v>
      </c>
      <c r="G640" s="334">
        <f t="shared" si="22"/>
        <v>99.78</v>
      </c>
    </row>
    <row r="641" spans="1:7" s="332" customFormat="1" ht="19.5" customHeight="1">
      <c r="A641" s="337" t="s">
        <v>492</v>
      </c>
      <c r="B641" s="165">
        <v>282</v>
      </c>
      <c r="C641" s="166">
        <v>282</v>
      </c>
      <c r="D641" s="166">
        <v>282</v>
      </c>
      <c r="E641" s="191">
        <v>282</v>
      </c>
      <c r="F641" s="334">
        <f t="shared" si="21"/>
        <v>100</v>
      </c>
      <c r="G641" s="334">
        <f t="shared" si="22"/>
        <v>100</v>
      </c>
    </row>
    <row r="642" spans="1:7" s="332" customFormat="1" ht="19.5" customHeight="1">
      <c r="A642" s="337" t="s">
        <v>493</v>
      </c>
      <c r="B642" s="165">
        <v>180</v>
      </c>
      <c r="C642" s="166">
        <v>180.8</v>
      </c>
      <c r="D642" s="166">
        <v>181</v>
      </c>
      <c r="E642" s="191">
        <v>179</v>
      </c>
      <c r="F642" s="334">
        <f t="shared" si="21"/>
        <v>99.44</v>
      </c>
      <c r="G642" s="334">
        <f t="shared" si="22"/>
        <v>99</v>
      </c>
    </row>
    <row r="643" spans="1:7" s="332" customFormat="1" ht="19.5" customHeight="1">
      <c r="A643" s="337" t="s">
        <v>593</v>
      </c>
      <c r="B643" s="194">
        <f aca="true" t="shared" si="23" ref="B643:E644">B644</f>
        <v>36832</v>
      </c>
      <c r="C643" s="165">
        <v>19370</v>
      </c>
      <c r="D643" s="194">
        <f t="shared" si="23"/>
        <v>50887</v>
      </c>
      <c r="E643" s="194">
        <f t="shared" si="23"/>
        <v>8154</v>
      </c>
      <c r="F643" s="334">
        <f t="shared" si="21"/>
        <v>22.14</v>
      </c>
      <c r="G643" s="334">
        <f t="shared" si="22"/>
        <v>42.1</v>
      </c>
    </row>
    <row r="644" spans="1:7" s="332" customFormat="1" ht="19.5" customHeight="1">
      <c r="A644" s="337" t="s">
        <v>494</v>
      </c>
      <c r="B644" s="194">
        <f t="shared" si="23"/>
        <v>36832</v>
      </c>
      <c r="C644" s="165">
        <v>19370</v>
      </c>
      <c r="D644" s="194">
        <f t="shared" si="23"/>
        <v>50887</v>
      </c>
      <c r="E644" s="194">
        <f t="shared" si="23"/>
        <v>8154</v>
      </c>
      <c r="F644" s="334">
        <f t="shared" si="21"/>
        <v>22.14</v>
      </c>
      <c r="G644" s="334">
        <f t="shared" si="22"/>
        <v>42.1</v>
      </c>
    </row>
    <row r="645" spans="1:7" s="332" customFormat="1" ht="19.5" customHeight="1">
      <c r="A645" s="337" t="s">
        <v>495</v>
      </c>
      <c r="B645" s="165">
        <f>37832-1000</f>
        <v>36832</v>
      </c>
      <c r="C645" s="166">
        <v>19370</v>
      </c>
      <c r="D645" s="166">
        <f>42240+8647</f>
        <v>50887</v>
      </c>
      <c r="E645" s="191">
        <v>8154</v>
      </c>
      <c r="F645" s="334">
        <f t="shared" si="21"/>
        <v>22.14</v>
      </c>
      <c r="G645" s="334">
        <f t="shared" si="22"/>
        <v>42.1</v>
      </c>
    </row>
    <row r="646" spans="1:7" s="332" customFormat="1" ht="19.5" customHeight="1">
      <c r="A646" s="337" t="s">
        <v>597</v>
      </c>
      <c r="B646" s="194">
        <v>0</v>
      </c>
      <c r="C646" s="166"/>
      <c r="D646" s="194"/>
      <c r="E646" s="194">
        <f>E647</f>
        <v>0</v>
      </c>
      <c r="F646" s="334">
        <f aca="true" t="shared" si="24" ref="F646:F653">IF(B646=0,0,E646/B646*100)</f>
        <v>0</v>
      </c>
      <c r="G646" s="334">
        <f aca="true" t="shared" si="25" ref="G646:G653">IF(E646=0,0,E646/C646*100)</f>
        <v>0</v>
      </c>
    </row>
    <row r="647" spans="1:7" s="332" customFormat="1" ht="19.5" customHeight="1">
      <c r="A647" s="337" t="s">
        <v>496</v>
      </c>
      <c r="B647" s="194">
        <v>0</v>
      </c>
      <c r="C647" s="166"/>
      <c r="D647" s="194"/>
      <c r="E647" s="194">
        <f>E648</f>
        <v>0</v>
      </c>
      <c r="F647" s="334">
        <f t="shared" si="24"/>
        <v>0</v>
      </c>
      <c r="G647" s="334">
        <f t="shared" si="25"/>
        <v>0</v>
      </c>
    </row>
    <row r="648" spans="1:7" s="332" customFormat="1" ht="19.5" customHeight="1">
      <c r="A648" s="337" t="s">
        <v>497</v>
      </c>
      <c r="B648" s="194">
        <v>0</v>
      </c>
      <c r="C648" s="166"/>
      <c r="D648" s="200"/>
      <c r="E648" s="191"/>
      <c r="F648" s="334">
        <f t="shared" si="24"/>
        <v>0</v>
      </c>
      <c r="G648" s="334">
        <f t="shared" si="25"/>
        <v>0</v>
      </c>
    </row>
    <row r="649" spans="1:7" s="332" customFormat="1" ht="19.5" customHeight="1">
      <c r="A649" s="337" t="s">
        <v>598</v>
      </c>
      <c r="B649" s="194">
        <f aca="true" t="shared" si="26" ref="B649:E650">B650</f>
        <v>12462</v>
      </c>
      <c r="C649" s="166">
        <v>10822</v>
      </c>
      <c r="D649" s="194">
        <v>10822</v>
      </c>
      <c r="E649" s="194">
        <f t="shared" si="26"/>
        <v>10822</v>
      </c>
      <c r="F649" s="334">
        <f t="shared" si="24"/>
        <v>86.84</v>
      </c>
      <c r="G649" s="334">
        <f t="shared" si="25"/>
        <v>100</v>
      </c>
    </row>
    <row r="650" spans="1:7" s="332" customFormat="1" ht="19.5" customHeight="1">
      <c r="A650" s="337" t="s">
        <v>498</v>
      </c>
      <c r="B650" s="194">
        <f t="shared" si="26"/>
        <v>12462</v>
      </c>
      <c r="C650" s="166">
        <v>10822</v>
      </c>
      <c r="D650" s="194">
        <v>10822</v>
      </c>
      <c r="E650" s="194">
        <f t="shared" si="26"/>
        <v>10822</v>
      </c>
      <c r="F650" s="334">
        <f t="shared" si="24"/>
        <v>86.84</v>
      </c>
      <c r="G650" s="334">
        <f t="shared" si="25"/>
        <v>100</v>
      </c>
    </row>
    <row r="651" spans="1:7" s="332" customFormat="1" ht="19.5" customHeight="1">
      <c r="A651" s="337" t="s">
        <v>499</v>
      </c>
      <c r="B651" s="165">
        <v>12462</v>
      </c>
      <c r="C651" s="166">
        <v>10822</v>
      </c>
      <c r="D651" s="166">
        <v>10822</v>
      </c>
      <c r="E651" s="191">
        <v>10822</v>
      </c>
      <c r="F651" s="334">
        <f t="shared" si="24"/>
        <v>86.84</v>
      </c>
      <c r="G651" s="334">
        <f t="shared" si="25"/>
        <v>100</v>
      </c>
    </row>
    <row r="652" spans="1:7" s="332" customFormat="1" ht="19.5" customHeight="1">
      <c r="A652" s="337" t="s">
        <v>599</v>
      </c>
      <c r="B652" s="194">
        <f>B653</f>
        <v>0</v>
      </c>
      <c r="C652" s="166">
        <v>60</v>
      </c>
      <c r="D652" s="194">
        <v>60</v>
      </c>
      <c r="E652" s="194">
        <f>E653</f>
        <v>60</v>
      </c>
      <c r="F652" s="334">
        <f t="shared" si="24"/>
        <v>0</v>
      </c>
      <c r="G652" s="334">
        <f t="shared" si="25"/>
        <v>100</v>
      </c>
    </row>
    <row r="653" spans="1:7" s="332" customFormat="1" ht="19.5" customHeight="1">
      <c r="A653" s="337" t="s">
        <v>500</v>
      </c>
      <c r="B653" s="195"/>
      <c r="C653" s="166">
        <v>60</v>
      </c>
      <c r="D653" s="166">
        <v>60</v>
      </c>
      <c r="E653" s="191">
        <v>60</v>
      </c>
      <c r="F653" s="334">
        <f t="shared" si="24"/>
        <v>0</v>
      </c>
      <c r="G653" s="334">
        <f t="shared" si="25"/>
        <v>100</v>
      </c>
    </row>
    <row r="654" spans="1:7" s="332" customFormat="1" ht="19.5" customHeight="1">
      <c r="A654" s="348" t="s">
        <v>1173</v>
      </c>
      <c r="B654" s="349">
        <v>99324</v>
      </c>
      <c r="C654" s="349">
        <v>107804</v>
      </c>
      <c r="D654" s="316">
        <f>85978</f>
        <v>85978</v>
      </c>
      <c r="E654" s="316">
        <v>61555</v>
      </c>
      <c r="F654" s="350">
        <v>108.54</v>
      </c>
      <c r="G654" s="350">
        <v>100</v>
      </c>
    </row>
    <row r="655" spans="1:7" s="332" customFormat="1" ht="19.5" customHeight="1">
      <c r="A655" s="351" t="s">
        <v>544</v>
      </c>
      <c r="B655" s="352">
        <v>904</v>
      </c>
      <c r="C655" s="352">
        <v>1480</v>
      </c>
      <c r="D655" s="191">
        <v>2545</v>
      </c>
      <c r="E655" s="191">
        <v>1033</v>
      </c>
      <c r="F655" s="353">
        <v>163.72</v>
      </c>
      <c r="G655" s="353">
        <v>100</v>
      </c>
    </row>
    <row r="656" spans="1:7" s="332" customFormat="1" ht="19.5" customHeight="1">
      <c r="A656" s="351" t="s">
        <v>1174</v>
      </c>
      <c r="B656" s="352">
        <v>851</v>
      </c>
      <c r="C656" s="352">
        <v>1418</v>
      </c>
      <c r="D656" s="191">
        <v>2477</v>
      </c>
      <c r="E656" s="191">
        <v>983</v>
      </c>
      <c r="F656" s="353">
        <v>166.63</v>
      </c>
      <c r="G656" s="353">
        <v>100</v>
      </c>
    </row>
    <row r="657" spans="1:7" s="332" customFormat="1" ht="19.5" customHeight="1">
      <c r="A657" s="351" t="s">
        <v>1175</v>
      </c>
      <c r="B657" s="352">
        <v>0</v>
      </c>
      <c r="C657" s="352">
        <v>197</v>
      </c>
      <c r="D657" s="191">
        <v>197</v>
      </c>
      <c r="E657" s="191">
        <v>197</v>
      </c>
      <c r="F657" s="353">
        <v>0</v>
      </c>
      <c r="G657" s="353">
        <v>100</v>
      </c>
    </row>
    <row r="658" spans="1:7" s="332" customFormat="1" ht="19.5" customHeight="1">
      <c r="A658" s="351" t="s">
        <v>1176</v>
      </c>
      <c r="B658" s="352">
        <v>785</v>
      </c>
      <c r="C658" s="352">
        <v>1090</v>
      </c>
      <c r="D658" s="191">
        <f>2074+1</f>
        <v>2075</v>
      </c>
      <c r="E658" s="191">
        <v>729</v>
      </c>
      <c r="F658" s="353">
        <v>138.85</v>
      </c>
      <c r="G658" s="353">
        <v>100</v>
      </c>
    </row>
    <row r="659" spans="1:7" s="332" customFormat="1" ht="19.5" customHeight="1">
      <c r="A659" s="351" t="s">
        <v>1177</v>
      </c>
      <c r="B659" s="352">
        <v>4</v>
      </c>
      <c r="C659" s="352">
        <v>0</v>
      </c>
      <c r="D659" s="191">
        <v>0</v>
      </c>
      <c r="E659" s="191">
        <v>0</v>
      </c>
      <c r="F659" s="353">
        <v>0</v>
      </c>
      <c r="G659" s="353">
        <v>0</v>
      </c>
    </row>
    <row r="660" spans="1:7" s="332" customFormat="1" ht="19.5" customHeight="1">
      <c r="A660" s="351" t="s">
        <v>1178</v>
      </c>
      <c r="B660" s="352">
        <v>62</v>
      </c>
      <c r="C660" s="352">
        <v>131</v>
      </c>
      <c r="D660" s="191">
        <v>206</v>
      </c>
      <c r="E660" s="191">
        <v>57</v>
      </c>
      <c r="F660" s="353">
        <v>211.29</v>
      </c>
      <c r="G660" s="353">
        <v>100</v>
      </c>
    </row>
    <row r="661" spans="1:7" ht="19.5" customHeight="1">
      <c r="A661" s="351" t="s">
        <v>1179</v>
      </c>
      <c r="B661" s="352">
        <v>2</v>
      </c>
      <c r="C661" s="352">
        <v>0</v>
      </c>
      <c r="D661" s="191"/>
      <c r="E661" s="191">
        <v>0</v>
      </c>
      <c r="F661" s="353">
        <v>0</v>
      </c>
      <c r="G661" s="353">
        <v>0</v>
      </c>
    </row>
    <row r="662" spans="1:7" ht="19.5" customHeight="1">
      <c r="A662" s="351" t="s">
        <v>1180</v>
      </c>
      <c r="B662" s="352">
        <v>2</v>
      </c>
      <c r="C662" s="352">
        <v>0</v>
      </c>
      <c r="D662" s="191"/>
      <c r="E662" s="191">
        <v>0</v>
      </c>
      <c r="F662" s="353">
        <v>0</v>
      </c>
      <c r="G662" s="353">
        <v>0</v>
      </c>
    </row>
    <row r="663" spans="1:7" ht="19.5" customHeight="1">
      <c r="A663" s="351" t="s">
        <v>1181</v>
      </c>
      <c r="B663" s="352">
        <v>22.6</v>
      </c>
      <c r="C663" s="352">
        <v>2</v>
      </c>
      <c r="D663" s="191"/>
      <c r="E663" s="191">
        <v>2</v>
      </c>
      <c r="F663" s="353">
        <v>8.85</v>
      </c>
      <c r="G663" s="353">
        <v>100</v>
      </c>
    </row>
    <row r="664" spans="1:7" ht="19.5" customHeight="1">
      <c r="A664" s="351" t="s">
        <v>1182</v>
      </c>
      <c r="B664" s="352">
        <v>22.6</v>
      </c>
      <c r="C664" s="352">
        <v>2</v>
      </c>
      <c r="D664" s="191"/>
      <c r="E664" s="191">
        <v>2</v>
      </c>
      <c r="F664" s="353">
        <v>8.85</v>
      </c>
      <c r="G664" s="353">
        <v>100</v>
      </c>
    </row>
    <row r="665" spans="1:7" ht="19.5" customHeight="1">
      <c r="A665" s="351" t="s">
        <v>1183</v>
      </c>
      <c r="B665" s="352">
        <v>0</v>
      </c>
      <c r="C665" s="352">
        <v>30</v>
      </c>
      <c r="D665" s="191">
        <v>30</v>
      </c>
      <c r="E665" s="191">
        <v>30</v>
      </c>
      <c r="F665" s="353">
        <v>0</v>
      </c>
      <c r="G665" s="353">
        <v>100</v>
      </c>
    </row>
    <row r="666" spans="1:7" ht="19.5" customHeight="1">
      <c r="A666" s="351" t="s">
        <v>1184</v>
      </c>
      <c r="B666" s="352">
        <v>0</v>
      </c>
      <c r="C666" s="352">
        <v>30</v>
      </c>
      <c r="D666" s="191">
        <v>30</v>
      </c>
      <c r="E666" s="191">
        <v>30</v>
      </c>
      <c r="F666" s="353">
        <v>0</v>
      </c>
      <c r="G666" s="353">
        <v>100</v>
      </c>
    </row>
    <row r="667" spans="1:7" ht="19.5" customHeight="1">
      <c r="A667" s="351" t="s">
        <v>1185</v>
      </c>
      <c r="B667" s="352">
        <v>8</v>
      </c>
      <c r="C667" s="352">
        <v>0</v>
      </c>
      <c r="D667" s="191">
        <v>8</v>
      </c>
      <c r="E667" s="191">
        <v>0</v>
      </c>
      <c r="F667" s="353">
        <v>0</v>
      </c>
      <c r="G667" s="353">
        <v>0</v>
      </c>
    </row>
    <row r="668" spans="1:7" ht="19.5" customHeight="1">
      <c r="A668" s="351" t="s">
        <v>1186</v>
      </c>
      <c r="B668" s="352">
        <v>8</v>
      </c>
      <c r="C668" s="352">
        <v>0</v>
      </c>
      <c r="D668" s="191">
        <v>8</v>
      </c>
      <c r="E668" s="191">
        <v>0</v>
      </c>
      <c r="F668" s="353">
        <v>0</v>
      </c>
      <c r="G668" s="353">
        <v>0</v>
      </c>
    </row>
    <row r="669" spans="1:7" ht="19.5" customHeight="1">
      <c r="A669" s="351" t="s">
        <v>1187</v>
      </c>
      <c r="B669" s="352">
        <v>20</v>
      </c>
      <c r="C669" s="352">
        <v>30</v>
      </c>
      <c r="D669" s="191">
        <v>30</v>
      </c>
      <c r="E669" s="191">
        <v>20</v>
      </c>
      <c r="F669" s="353">
        <v>150</v>
      </c>
      <c r="G669" s="353">
        <v>100</v>
      </c>
    </row>
    <row r="670" spans="1:7" ht="19.5" customHeight="1">
      <c r="A670" s="351" t="s">
        <v>1188</v>
      </c>
      <c r="B670" s="352">
        <v>20</v>
      </c>
      <c r="C670" s="352">
        <v>30</v>
      </c>
      <c r="D670" s="191">
        <v>30</v>
      </c>
      <c r="E670" s="191">
        <v>20</v>
      </c>
      <c r="F670" s="353">
        <v>150</v>
      </c>
      <c r="G670" s="353">
        <v>100</v>
      </c>
    </row>
    <row r="671" spans="1:7" ht="19.5" customHeight="1">
      <c r="A671" s="351" t="s">
        <v>545</v>
      </c>
      <c r="B671" s="352">
        <v>191</v>
      </c>
      <c r="C671" s="352">
        <v>178</v>
      </c>
      <c r="D671" s="191">
        <v>178</v>
      </c>
      <c r="E671" s="191">
        <v>168</v>
      </c>
      <c r="F671" s="353">
        <v>93.19</v>
      </c>
      <c r="G671" s="353">
        <v>100</v>
      </c>
    </row>
    <row r="672" spans="1:7" ht="19.5" customHeight="1">
      <c r="A672" s="351" t="s">
        <v>1189</v>
      </c>
      <c r="B672" s="352">
        <v>23</v>
      </c>
      <c r="C672" s="352">
        <v>15</v>
      </c>
      <c r="D672" s="191">
        <v>15</v>
      </c>
      <c r="E672" s="191">
        <v>15</v>
      </c>
      <c r="F672" s="353">
        <v>65.22</v>
      </c>
      <c r="G672" s="353">
        <v>100</v>
      </c>
    </row>
    <row r="673" spans="1:7" ht="19.5" customHeight="1">
      <c r="A673" s="351" t="s">
        <v>1190</v>
      </c>
      <c r="B673" s="352">
        <v>8</v>
      </c>
      <c r="C673" s="352">
        <v>10</v>
      </c>
      <c r="D673" s="191">
        <v>10</v>
      </c>
      <c r="E673" s="191">
        <v>10</v>
      </c>
      <c r="F673" s="353">
        <v>125</v>
      </c>
      <c r="G673" s="353">
        <v>100</v>
      </c>
    </row>
    <row r="674" spans="1:7" ht="19.5" customHeight="1">
      <c r="A674" s="351" t="s">
        <v>1191</v>
      </c>
      <c r="B674" s="352">
        <v>15</v>
      </c>
      <c r="C674" s="352">
        <v>5</v>
      </c>
      <c r="D674" s="191">
        <v>5</v>
      </c>
      <c r="E674" s="191">
        <v>5</v>
      </c>
      <c r="F674" s="353">
        <v>33.33</v>
      </c>
      <c r="G674" s="353">
        <v>100</v>
      </c>
    </row>
    <row r="675" spans="1:7" ht="19.5" customHeight="1">
      <c r="A675" s="351" t="s">
        <v>1192</v>
      </c>
      <c r="B675" s="352">
        <v>168</v>
      </c>
      <c r="C675" s="352">
        <v>163</v>
      </c>
      <c r="D675" s="191">
        <v>163</v>
      </c>
      <c r="E675" s="191">
        <v>153</v>
      </c>
      <c r="F675" s="353">
        <v>97.02</v>
      </c>
      <c r="G675" s="353">
        <v>100</v>
      </c>
    </row>
    <row r="676" spans="1:7" ht="19.5" customHeight="1">
      <c r="A676" s="351" t="s">
        <v>1193</v>
      </c>
      <c r="B676" s="352">
        <v>168</v>
      </c>
      <c r="C676" s="352">
        <v>163</v>
      </c>
      <c r="D676" s="191">
        <v>163</v>
      </c>
      <c r="E676" s="191">
        <v>153</v>
      </c>
      <c r="F676" s="353">
        <v>97.02</v>
      </c>
      <c r="G676" s="353">
        <v>100</v>
      </c>
    </row>
    <row r="677" spans="1:7" ht="19.5" customHeight="1">
      <c r="A677" s="351" t="s">
        <v>546</v>
      </c>
      <c r="B677" s="352">
        <v>122</v>
      </c>
      <c r="C677" s="352">
        <v>40</v>
      </c>
      <c r="D677" s="191">
        <v>45</v>
      </c>
      <c r="E677" s="191">
        <v>25</v>
      </c>
      <c r="F677" s="353">
        <v>32.79</v>
      </c>
      <c r="G677" s="353">
        <v>100</v>
      </c>
    </row>
    <row r="678" spans="1:7" ht="19.5" customHeight="1">
      <c r="A678" s="351" t="s">
        <v>1194</v>
      </c>
      <c r="B678" s="352">
        <v>122</v>
      </c>
      <c r="C678" s="352">
        <v>40</v>
      </c>
      <c r="D678" s="191">
        <v>45</v>
      </c>
      <c r="E678" s="191">
        <v>25</v>
      </c>
      <c r="F678" s="353">
        <v>32.79</v>
      </c>
      <c r="G678" s="353">
        <v>100</v>
      </c>
    </row>
    <row r="679" spans="1:7" ht="19.5" customHeight="1">
      <c r="A679" s="351" t="s">
        <v>840</v>
      </c>
      <c r="B679" s="352">
        <v>112</v>
      </c>
      <c r="C679" s="352">
        <v>35</v>
      </c>
      <c r="D679" s="191">
        <v>40</v>
      </c>
      <c r="E679" s="191">
        <v>20</v>
      </c>
      <c r="F679" s="353">
        <v>31.25</v>
      </c>
      <c r="G679" s="353">
        <v>100</v>
      </c>
    </row>
    <row r="680" spans="1:7" ht="19.5" customHeight="1">
      <c r="A680" s="351" t="s">
        <v>841</v>
      </c>
      <c r="B680" s="352">
        <v>10</v>
      </c>
      <c r="C680" s="352">
        <v>5</v>
      </c>
      <c r="D680" s="191">
        <v>5</v>
      </c>
      <c r="E680" s="191">
        <v>5</v>
      </c>
      <c r="F680" s="353">
        <v>50</v>
      </c>
      <c r="G680" s="353">
        <v>100</v>
      </c>
    </row>
    <row r="681" spans="1:7" ht="19.5" customHeight="1">
      <c r="A681" s="351" t="s">
        <v>547</v>
      </c>
      <c r="B681" s="352">
        <v>10</v>
      </c>
      <c r="C681" s="352">
        <v>10</v>
      </c>
      <c r="D681" s="191">
        <v>10</v>
      </c>
      <c r="E681" s="191">
        <v>10</v>
      </c>
      <c r="F681" s="353">
        <v>100</v>
      </c>
      <c r="G681" s="353">
        <v>100</v>
      </c>
    </row>
    <row r="682" spans="1:7" ht="19.5" customHeight="1">
      <c r="A682" s="351" t="s">
        <v>1195</v>
      </c>
      <c r="B682" s="352">
        <v>10</v>
      </c>
      <c r="C682" s="352">
        <v>10</v>
      </c>
      <c r="D682" s="191">
        <v>10</v>
      </c>
      <c r="E682" s="191">
        <v>10</v>
      </c>
      <c r="F682" s="353">
        <v>100</v>
      </c>
      <c r="G682" s="353">
        <v>100</v>
      </c>
    </row>
    <row r="683" spans="1:7" ht="19.5" customHeight="1">
      <c r="A683" s="351" t="s">
        <v>1196</v>
      </c>
      <c r="B683" s="352">
        <v>10</v>
      </c>
      <c r="C683" s="352">
        <v>10</v>
      </c>
      <c r="D683" s="191">
        <v>10</v>
      </c>
      <c r="E683" s="191">
        <v>10</v>
      </c>
      <c r="F683" s="353">
        <v>100</v>
      </c>
      <c r="G683" s="353">
        <v>100</v>
      </c>
    </row>
    <row r="684" spans="1:7" ht="19.5" customHeight="1">
      <c r="A684" s="351" t="s">
        <v>548</v>
      </c>
      <c r="B684" s="352">
        <v>434</v>
      </c>
      <c r="C684" s="352">
        <v>387</v>
      </c>
      <c r="D684" s="191">
        <v>617</v>
      </c>
      <c r="E684" s="191">
        <v>297</v>
      </c>
      <c r="F684" s="353">
        <v>89.17</v>
      </c>
      <c r="G684" s="353">
        <v>100</v>
      </c>
    </row>
    <row r="685" spans="1:7" ht="19.5" customHeight="1">
      <c r="A685" s="351" t="s">
        <v>1197</v>
      </c>
      <c r="B685" s="352">
        <v>403.7</v>
      </c>
      <c r="C685" s="352">
        <v>352.1</v>
      </c>
      <c r="D685" s="191">
        <v>582</v>
      </c>
      <c r="E685" s="191">
        <v>272</v>
      </c>
      <c r="F685" s="353">
        <v>87.22</v>
      </c>
      <c r="G685" s="353">
        <v>100</v>
      </c>
    </row>
    <row r="686" spans="1:7" ht="19.5" customHeight="1">
      <c r="A686" s="351" t="s">
        <v>1198</v>
      </c>
      <c r="B686" s="352">
        <v>303.7</v>
      </c>
      <c r="C686" s="352">
        <v>113.7</v>
      </c>
      <c r="D686" s="191">
        <v>94</v>
      </c>
      <c r="E686" s="191">
        <v>84</v>
      </c>
      <c r="F686" s="353">
        <v>37.44</v>
      </c>
      <c r="G686" s="353">
        <v>100</v>
      </c>
    </row>
    <row r="687" spans="1:7" ht="19.5" customHeight="1">
      <c r="A687" s="351" t="s">
        <v>854</v>
      </c>
      <c r="B687" s="352">
        <v>100</v>
      </c>
      <c r="C687" s="352">
        <v>233.4</v>
      </c>
      <c r="D687" s="191">
        <v>183</v>
      </c>
      <c r="E687" s="191">
        <v>183</v>
      </c>
      <c r="F687" s="353">
        <v>233.4</v>
      </c>
      <c r="G687" s="353">
        <v>100</v>
      </c>
    </row>
    <row r="688" spans="1:7" ht="19.5" customHeight="1">
      <c r="A688" s="351" t="s">
        <v>1199</v>
      </c>
      <c r="B688" s="352">
        <v>0</v>
      </c>
      <c r="C688" s="352">
        <v>5</v>
      </c>
      <c r="D688" s="191">
        <v>305</v>
      </c>
      <c r="E688" s="191">
        <v>5</v>
      </c>
      <c r="F688" s="353">
        <v>0</v>
      </c>
      <c r="G688" s="353">
        <v>100</v>
      </c>
    </row>
    <row r="689" spans="1:7" ht="19.5" customHeight="1">
      <c r="A689" s="351" t="s">
        <v>1200</v>
      </c>
      <c r="B689" s="352">
        <v>30</v>
      </c>
      <c r="C689" s="352">
        <v>35</v>
      </c>
      <c r="D689" s="191">
        <v>35</v>
      </c>
      <c r="E689" s="191">
        <v>25</v>
      </c>
      <c r="F689" s="353">
        <v>116.67</v>
      </c>
      <c r="G689" s="353">
        <v>100</v>
      </c>
    </row>
    <row r="690" spans="1:7" ht="19.5" customHeight="1">
      <c r="A690" s="351" t="s">
        <v>1201</v>
      </c>
      <c r="B690" s="352">
        <v>20</v>
      </c>
      <c r="C690" s="352">
        <v>20</v>
      </c>
      <c r="D690" s="191">
        <v>20</v>
      </c>
      <c r="E690" s="191">
        <v>20</v>
      </c>
      <c r="F690" s="353">
        <v>100</v>
      </c>
      <c r="G690" s="353">
        <v>100</v>
      </c>
    </row>
    <row r="691" spans="1:7" ht="19.5" customHeight="1">
      <c r="A691" s="351" t="s">
        <v>1202</v>
      </c>
      <c r="B691" s="352">
        <v>10</v>
      </c>
      <c r="C691" s="352">
        <v>15</v>
      </c>
      <c r="D691" s="191">
        <v>15</v>
      </c>
      <c r="E691" s="191">
        <v>5</v>
      </c>
      <c r="F691" s="353">
        <v>150</v>
      </c>
      <c r="G691" s="353">
        <v>100</v>
      </c>
    </row>
    <row r="692" spans="1:7" ht="19.5" customHeight="1">
      <c r="A692" s="351" t="s">
        <v>549</v>
      </c>
      <c r="B692" s="352">
        <v>2834</v>
      </c>
      <c r="C692" s="352">
        <v>1815</v>
      </c>
      <c r="D692" s="191">
        <v>2243</v>
      </c>
      <c r="E692" s="191">
        <v>1329</v>
      </c>
      <c r="F692" s="353">
        <v>64.04</v>
      </c>
      <c r="G692" s="353">
        <v>100</v>
      </c>
    </row>
    <row r="693" spans="1:7" ht="19.5" customHeight="1">
      <c r="A693" s="351" t="s">
        <v>1203</v>
      </c>
      <c r="B693" s="352">
        <v>2834</v>
      </c>
      <c r="C693" s="352">
        <v>1815</v>
      </c>
      <c r="D693" s="191">
        <v>2243</v>
      </c>
      <c r="E693" s="191">
        <v>1329</v>
      </c>
      <c r="F693" s="353">
        <v>64.04</v>
      </c>
      <c r="G693" s="353">
        <v>100</v>
      </c>
    </row>
    <row r="694" spans="1:7" ht="19.5" customHeight="1">
      <c r="A694" s="351" t="s">
        <v>857</v>
      </c>
      <c r="B694" s="352">
        <v>2834</v>
      </c>
      <c r="C694" s="352">
        <v>1815</v>
      </c>
      <c r="D694" s="191">
        <v>2243</v>
      </c>
      <c r="E694" s="191">
        <v>1329</v>
      </c>
      <c r="F694" s="353">
        <v>64.04</v>
      </c>
      <c r="G694" s="353">
        <v>100</v>
      </c>
    </row>
    <row r="695" spans="1:7" ht="19.5" customHeight="1">
      <c r="A695" s="351" t="s">
        <v>550</v>
      </c>
      <c r="B695" s="352">
        <f>85-1</f>
        <v>84</v>
      </c>
      <c r="C695" s="352">
        <v>65</v>
      </c>
      <c r="D695" s="191">
        <v>65</v>
      </c>
      <c r="E695" s="191">
        <v>56</v>
      </c>
      <c r="F695" s="353">
        <v>76.47</v>
      </c>
      <c r="G695" s="353">
        <v>100</v>
      </c>
    </row>
    <row r="696" spans="1:7" ht="19.5" customHeight="1">
      <c r="A696" s="351" t="s">
        <v>1204</v>
      </c>
      <c r="B696" s="352">
        <v>8</v>
      </c>
      <c r="C696" s="352">
        <v>11</v>
      </c>
      <c r="D696" s="191">
        <v>11</v>
      </c>
      <c r="E696" s="191">
        <v>11</v>
      </c>
      <c r="F696" s="353">
        <v>137.5</v>
      </c>
      <c r="G696" s="353">
        <v>100</v>
      </c>
    </row>
    <row r="697" spans="1:7" ht="19.5" customHeight="1">
      <c r="A697" s="351" t="s">
        <v>1205</v>
      </c>
      <c r="B697" s="352">
        <v>8</v>
      </c>
      <c r="C697" s="352">
        <v>11</v>
      </c>
      <c r="D697" s="191">
        <v>11</v>
      </c>
      <c r="E697" s="191">
        <v>11</v>
      </c>
      <c r="F697" s="353">
        <v>137.5</v>
      </c>
      <c r="G697" s="353">
        <v>100</v>
      </c>
    </row>
    <row r="698" spans="1:7" ht="19.5" customHeight="1">
      <c r="A698" s="351" t="s">
        <v>1206</v>
      </c>
      <c r="B698" s="352">
        <v>44</v>
      </c>
      <c r="C698" s="352">
        <v>15</v>
      </c>
      <c r="D698" s="191">
        <v>10</v>
      </c>
      <c r="E698" s="191">
        <v>5</v>
      </c>
      <c r="F698" s="353">
        <v>34.09</v>
      </c>
      <c r="G698" s="353">
        <v>100</v>
      </c>
    </row>
    <row r="699" spans="1:7" ht="19.5" customHeight="1">
      <c r="A699" s="351" t="s">
        <v>882</v>
      </c>
      <c r="B699" s="352">
        <v>34</v>
      </c>
      <c r="C699" s="352">
        <v>15</v>
      </c>
      <c r="D699" s="191">
        <v>10</v>
      </c>
      <c r="E699" s="191">
        <v>5</v>
      </c>
      <c r="F699" s="353">
        <v>44.12</v>
      </c>
      <c r="G699" s="353">
        <v>100</v>
      </c>
    </row>
    <row r="700" spans="1:7" ht="19.5" customHeight="1">
      <c r="A700" s="351" t="s">
        <v>1207</v>
      </c>
      <c r="B700" s="352">
        <v>10</v>
      </c>
      <c r="C700" s="352">
        <v>0</v>
      </c>
      <c r="D700" s="191">
        <v>0</v>
      </c>
      <c r="E700" s="191">
        <v>0</v>
      </c>
      <c r="F700" s="353">
        <v>0</v>
      </c>
      <c r="G700" s="353">
        <v>0</v>
      </c>
    </row>
    <row r="701" spans="1:7" ht="19.5" customHeight="1">
      <c r="A701" s="351" t="s">
        <v>1208</v>
      </c>
      <c r="B701" s="352">
        <v>4</v>
      </c>
      <c r="C701" s="352">
        <v>8</v>
      </c>
      <c r="D701" s="191">
        <v>8</v>
      </c>
      <c r="E701" s="191">
        <v>4</v>
      </c>
      <c r="F701" s="353">
        <v>200</v>
      </c>
      <c r="G701" s="353">
        <v>100</v>
      </c>
    </row>
    <row r="702" spans="1:7" ht="19.5" customHeight="1">
      <c r="A702" s="351" t="s">
        <v>1209</v>
      </c>
      <c r="B702" s="352">
        <v>4</v>
      </c>
      <c r="C702" s="352">
        <v>8</v>
      </c>
      <c r="D702" s="191">
        <v>8</v>
      </c>
      <c r="E702" s="191">
        <v>4</v>
      </c>
      <c r="F702" s="353">
        <v>200</v>
      </c>
      <c r="G702" s="353">
        <v>100</v>
      </c>
    </row>
    <row r="703" spans="1:7" ht="19.5" customHeight="1">
      <c r="A703" s="351" t="s">
        <v>1210</v>
      </c>
      <c r="B703" s="352">
        <v>29</v>
      </c>
      <c r="C703" s="352">
        <v>31</v>
      </c>
      <c r="D703" s="191">
        <v>37</v>
      </c>
      <c r="E703" s="191">
        <v>37</v>
      </c>
      <c r="F703" s="353">
        <v>106.9</v>
      </c>
      <c r="G703" s="353">
        <v>100</v>
      </c>
    </row>
    <row r="704" spans="1:7" ht="19.5" customHeight="1">
      <c r="A704" s="351" t="s">
        <v>1211</v>
      </c>
      <c r="B704" s="352">
        <v>17</v>
      </c>
      <c r="C704" s="352">
        <v>18</v>
      </c>
      <c r="D704" s="191">
        <v>18</v>
      </c>
      <c r="E704" s="191">
        <v>18</v>
      </c>
      <c r="F704" s="353">
        <v>105.88</v>
      </c>
      <c r="G704" s="353">
        <v>100</v>
      </c>
    </row>
    <row r="705" spans="1:7" ht="19.5" customHeight="1">
      <c r="A705" s="351" t="s">
        <v>1212</v>
      </c>
      <c r="B705" s="352">
        <v>3</v>
      </c>
      <c r="C705" s="352">
        <v>3</v>
      </c>
      <c r="D705" s="191">
        <v>3</v>
      </c>
      <c r="E705" s="191">
        <v>3</v>
      </c>
      <c r="F705" s="353">
        <v>100</v>
      </c>
      <c r="G705" s="353">
        <v>100</v>
      </c>
    </row>
    <row r="706" spans="1:7" ht="19.5" customHeight="1">
      <c r="A706" s="351" t="s">
        <v>1213</v>
      </c>
      <c r="B706" s="352">
        <v>9</v>
      </c>
      <c r="C706" s="352">
        <v>10</v>
      </c>
      <c r="D706" s="191">
        <v>16</v>
      </c>
      <c r="E706" s="191">
        <v>16</v>
      </c>
      <c r="F706" s="353">
        <v>111.11</v>
      </c>
      <c r="G706" s="353">
        <v>100</v>
      </c>
    </row>
    <row r="707" spans="1:7" ht="19.5" customHeight="1">
      <c r="A707" s="351" t="s">
        <v>551</v>
      </c>
      <c r="B707" s="352">
        <v>3408</v>
      </c>
      <c r="C707" s="352">
        <v>4041</v>
      </c>
      <c r="D707" s="191">
        <v>4204</v>
      </c>
      <c r="E707" s="191">
        <v>3226</v>
      </c>
      <c r="F707" s="353">
        <v>118.56</v>
      </c>
      <c r="G707" s="353">
        <v>100</v>
      </c>
    </row>
    <row r="708" spans="1:7" ht="19.5" customHeight="1">
      <c r="A708" s="351" t="s">
        <v>1214</v>
      </c>
      <c r="B708" s="352">
        <v>3408.5</v>
      </c>
      <c r="C708" s="352">
        <v>4041</v>
      </c>
      <c r="D708" s="191">
        <v>4204</v>
      </c>
      <c r="E708" s="191">
        <v>3226</v>
      </c>
      <c r="F708" s="353">
        <v>118.56</v>
      </c>
      <c r="G708" s="353">
        <v>100</v>
      </c>
    </row>
    <row r="709" spans="1:7" ht="19.5" customHeight="1">
      <c r="A709" s="351" t="s">
        <v>887</v>
      </c>
      <c r="B709" s="352">
        <v>0</v>
      </c>
      <c r="C709" s="352">
        <v>0</v>
      </c>
      <c r="D709" s="191">
        <v>0</v>
      </c>
      <c r="E709" s="191">
        <v>0</v>
      </c>
      <c r="F709" s="353">
        <v>0</v>
      </c>
      <c r="G709" s="353">
        <v>0</v>
      </c>
    </row>
    <row r="710" spans="1:7" ht="19.5" customHeight="1">
      <c r="A710" s="351" t="s">
        <v>1170</v>
      </c>
      <c r="B710" s="352">
        <v>0</v>
      </c>
      <c r="C710" s="352">
        <v>4040</v>
      </c>
      <c r="D710" s="191">
        <v>4204</v>
      </c>
      <c r="E710" s="191">
        <v>3225</v>
      </c>
      <c r="F710" s="353">
        <v>0</v>
      </c>
      <c r="G710" s="353">
        <v>100</v>
      </c>
    </row>
    <row r="711" spans="1:7" ht="19.5" customHeight="1">
      <c r="A711" s="351" t="s">
        <v>1215</v>
      </c>
      <c r="B711" s="352">
        <v>3399.5</v>
      </c>
      <c r="C711" s="352">
        <v>0</v>
      </c>
      <c r="D711" s="191">
        <v>0</v>
      </c>
      <c r="E711" s="191">
        <v>0</v>
      </c>
      <c r="F711" s="353">
        <v>0</v>
      </c>
      <c r="G711" s="353">
        <v>0</v>
      </c>
    </row>
    <row r="712" spans="1:7" ht="19.5" customHeight="1">
      <c r="A712" s="351" t="s">
        <v>1216</v>
      </c>
      <c r="B712" s="352">
        <v>9</v>
      </c>
      <c r="C712" s="352">
        <v>1</v>
      </c>
      <c r="D712" s="191">
        <v>0</v>
      </c>
      <c r="E712" s="191">
        <v>0</v>
      </c>
      <c r="F712" s="353">
        <v>11.11</v>
      </c>
      <c r="G712" s="353">
        <v>100</v>
      </c>
    </row>
    <row r="713" spans="1:7" ht="19.5" customHeight="1">
      <c r="A713" s="351" t="s">
        <v>552</v>
      </c>
      <c r="B713" s="352">
        <v>2095</v>
      </c>
      <c r="C713" s="352">
        <v>3841</v>
      </c>
      <c r="D713" s="191">
        <v>3189</v>
      </c>
      <c r="E713" s="191">
        <v>1769</v>
      </c>
      <c r="F713" s="353">
        <v>183.34</v>
      </c>
      <c r="G713" s="353">
        <v>100</v>
      </c>
    </row>
    <row r="714" spans="1:7" ht="19.5" customHeight="1">
      <c r="A714" s="351" t="s">
        <v>1217</v>
      </c>
      <c r="B714" s="352">
        <v>284</v>
      </c>
      <c r="C714" s="352">
        <v>602</v>
      </c>
      <c r="D714" s="191">
        <v>1463</v>
      </c>
      <c r="E714" s="191">
        <v>492</v>
      </c>
      <c r="F714" s="353">
        <v>211.97</v>
      </c>
      <c r="G714" s="353">
        <v>100</v>
      </c>
    </row>
    <row r="715" spans="1:7" ht="19.5" customHeight="1">
      <c r="A715" s="351" t="s">
        <v>1218</v>
      </c>
      <c r="B715" s="352">
        <v>0</v>
      </c>
      <c r="C715" s="352">
        <v>50</v>
      </c>
      <c r="D715" s="191">
        <v>50</v>
      </c>
      <c r="E715" s="191">
        <v>50</v>
      </c>
      <c r="F715" s="353">
        <v>0</v>
      </c>
      <c r="G715" s="353">
        <v>100</v>
      </c>
    </row>
    <row r="716" spans="1:7" ht="19.5" customHeight="1">
      <c r="A716" s="351" t="s">
        <v>1219</v>
      </c>
      <c r="B716" s="352">
        <v>224</v>
      </c>
      <c r="C716" s="352">
        <v>367</v>
      </c>
      <c r="D716" s="191">
        <v>497</v>
      </c>
      <c r="E716" s="191">
        <v>337</v>
      </c>
      <c r="F716" s="353">
        <v>163.84</v>
      </c>
      <c r="G716" s="353">
        <v>100</v>
      </c>
    </row>
    <row r="717" spans="1:7" ht="19.5" customHeight="1">
      <c r="A717" s="351" t="s">
        <v>1220</v>
      </c>
      <c r="B717" s="352">
        <v>60</v>
      </c>
      <c r="C717" s="352">
        <v>185</v>
      </c>
      <c r="D717" s="191">
        <v>916</v>
      </c>
      <c r="E717" s="191">
        <v>105</v>
      </c>
      <c r="F717" s="353">
        <v>308.33</v>
      </c>
      <c r="G717" s="353">
        <v>100</v>
      </c>
    </row>
    <row r="718" spans="1:7" ht="19.5" customHeight="1">
      <c r="A718" s="351" t="s">
        <v>1221</v>
      </c>
      <c r="B718" s="352">
        <v>383</v>
      </c>
      <c r="C718" s="352">
        <v>656</v>
      </c>
      <c r="D718" s="191">
        <v>378</v>
      </c>
      <c r="E718" s="191">
        <v>278</v>
      </c>
      <c r="F718" s="353">
        <v>171.28</v>
      </c>
      <c r="G718" s="353">
        <v>100</v>
      </c>
    </row>
    <row r="719" spans="1:7" ht="19.5" customHeight="1">
      <c r="A719" s="351" t="s">
        <v>1222</v>
      </c>
      <c r="B719" s="352">
        <v>375</v>
      </c>
      <c r="C719" s="352">
        <v>653</v>
      </c>
      <c r="D719" s="191">
        <v>278</v>
      </c>
      <c r="E719" s="191">
        <v>278</v>
      </c>
      <c r="F719" s="353">
        <v>174.13</v>
      </c>
      <c r="G719" s="353">
        <v>100</v>
      </c>
    </row>
    <row r="720" spans="1:7" ht="19.5" customHeight="1">
      <c r="A720" s="351" t="s">
        <v>889</v>
      </c>
      <c r="B720" s="352">
        <v>8</v>
      </c>
      <c r="C720" s="352">
        <v>3</v>
      </c>
      <c r="D720" s="191">
        <v>100</v>
      </c>
      <c r="E720" s="191">
        <v>0</v>
      </c>
      <c r="F720" s="353">
        <v>37.5</v>
      </c>
      <c r="G720" s="353">
        <v>100</v>
      </c>
    </row>
    <row r="721" spans="1:7" ht="19.5" customHeight="1">
      <c r="A721" s="351" t="s">
        <v>1223</v>
      </c>
      <c r="B721" s="352">
        <v>1000</v>
      </c>
      <c r="C721" s="352">
        <v>1015</v>
      </c>
      <c r="D721" s="191">
        <v>815</v>
      </c>
      <c r="E721" s="191">
        <v>465</v>
      </c>
      <c r="F721" s="353">
        <v>101.5</v>
      </c>
      <c r="G721" s="353">
        <v>100</v>
      </c>
    </row>
    <row r="722" spans="1:7" ht="19.5" customHeight="1">
      <c r="A722" s="351" t="s">
        <v>890</v>
      </c>
      <c r="B722" s="352">
        <v>1000</v>
      </c>
      <c r="C722" s="352">
        <v>1015</v>
      </c>
      <c r="D722" s="191">
        <v>815</v>
      </c>
      <c r="E722" s="191">
        <v>465</v>
      </c>
      <c r="F722" s="353">
        <v>101.5</v>
      </c>
      <c r="G722" s="353">
        <v>100</v>
      </c>
    </row>
    <row r="723" spans="1:7" ht="19.5" customHeight="1">
      <c r="A723" s="351" t="s">
        <v>1224</v>
      </c>
      <c r="B723" s="352">
        <v>428</v>
      </c>
      <c r="C723" s="352">
        <v>1568</v>
      </c>
      <c r="D723" s="191">
        <v>534</v>
      </c>
      <c r="E723" s="191">
        <v>534</v>
      </c>
      <c r="F723" s="353">
        <v>366.36</v>
      </c>
      <c r="G723" s="353">
        <v>100</v>
      </c>
    </row>
    <row r="724" spans="1:7" ht="19.5" customHeight="1">
      <c r="A724" s="351" t="s">
        <v>1225</v>
      </c>
      <c r="B724" s="352">
        <v>428</v>
      </c>
      <c r="C724" s="352">
        <v>1568</v>
      </c>
      <c r="D724" s="191">
        <v>534</v>
      </c>
      <c r="E724" s="191">
        <v>534</v>
      </c>
      <c r="F724" s="353">
        <v>366.36</v>
      </c>
      <c r="G724" s="353">
        <v>100</v>
      </c>
    </row>
    <row r="725" spans="1:7" ht="19.5" customHeight="1">
      <c r="A725" s="351" t="s">
        <v>569</v>
      </c>
      <c r="B725" s="352">
        <v>86785</v>
      </c>
      <c r="C725" s="352">
        <f>95948-1</f>
        <v>95947</v>
      </c>
      <c r="D725" s="191">
        <v>72881</v>
      </c>
      <c r="E725" s="191">
        <v>53642</v>
      </c>
      <c r="F725" s="353">
        <v>110.56</v>
      </c>
      <c r="G725" s="353">
        <v>100</v>
      </c>
    </row>
    <row r="726" spans="1:7" ht="19.5" customHeight="1">
      <c r="A726" s="351" t="s">
        <v>1226</v>
      </c>
      <c r="B726" s="352">
        <v>239.8</v>
      </c>
      <c r="C726" s="352">
        <v>163</v>
      </c>
      <c r="D726" s="191">
        <v>63</v>
      </c>
      <c r="E726" s="191">
        <v>63</v>
      </c>
      <c r="F726" s="353">
        <v>67.97</v>
      </c>
      <c r="G726" s="353">
        <v>100</v>
      </c>
    </row>
    <row r="727" spans="1:7" ht="19.5" customHeight="1">
      <c r="A727" s="351" t="s">
        <v>1227</v>
      </c>
      <c r="B727" s="352">
        <v>100</v>
      </c>
      <c r="C727" s="352">
        <v>100</v>
      </c>
      <c r="D727" s="191">
        <v>0</v>
      </c>
      <c r="E727" s="191">
        <v>0</v>
      </c>
      <c r="F727" s="353">
        <v>100</v>
      </c>
      <c r="G727" s="353">
        <v>100</v>
      </c>
    </row>
    <row r="728" spans="1:7" ht="19.5" customHeight="1">
      <c r="A728" s="351" t="s">
        <v>897</v>
      </c>
      <c r="B728" s="352">
        <v>140</v>
      </c>
      <c r="C728" s="352">
        <v>63</v>
      </c>
      <c r="D728" s="191">
        <v>63</v>
      </c>
      <c r="E728" s="191">
        <v>63</v>
      </c>
      <c r="F728" s="353">
        <v>45</v>
      </c>
      <c r="G728" s="353">
        <v>100</v>
      </c>
    </row>
    <row r="729" spans="1:7" ht="19.5" customHeight="1">
      <c r="A729" s="351" t="s">
        <v>1228</v>
      </c>
      <c r="B729" s="352">
        <v>86545</v>
      </c>
      <c r="C729" s="352">
        <v>95785</v>
      </c>
      <c r="D729" s="191">
        <v>72818</v>
      </c>
      <c r="E729" s="191">
        <v>53580</v>
      </c>
      <c r="F729" s="353">
        <v>110.68</v>
      </c>
      <c r="G729" s="353">
        <v>100</v>
      </c>
    </row>
    <row r="730" spans="1:7" ht="19.5" customHeight="1">
      <c r="A730" s="351" t="s">
        <v>1229</v>
      </c>
      <c r="B730" s="352">
        <v>389</v>
      </c>
      <c r="C730" s="352">
        <v>505</v>
      </c>
      <c r="D730" s="191">
        <v>501</v>
      </c>
      <c r="E730" s="191">
        <v>501</v>
      </c>
      <c r="F730" s="353">
        <v>129.82</v>
      </c>
      <c r="G730" s="353">
        <v>100</v>
      </c>
    </row>
    <row r="731" spans="1:7" ht="19.5" customHeight="1">
      <c r="A731" s="351" t="s">
        <v>1230</v>
      </c>
      <c r="B731" s="352">
        <v>0</v>
      </c>
      <c r="C731" s="352">
        <v>481</v>
      </c>
      <c r="D731" s="191">
        <v>481</v>
      </c>
      <c r="E731" s="191">
        <v>481</v>
      </c>
      <c r="F731" s="353">
        <v>0</v>
      </c>
      <c r="G731" s="353">
        <v>100</v>
      </c>
    </row>
    <row r="732" spans="1:7" ht="19.5" customHeight="1">
      <c r="A732" s="351" t="s">
        <v>1082</v>
      </c>
      <c r="B732" s="352">
        <v>86097</v>
      </c>
      <c r="C732" s="352">
        <v>94721</v>
      </c>
      <c r="D732" s="191">
        <v>71758</v>
      </c>
      <c r="E732" s="191">
        <v>52520</v>
      </c>
      <c r="F732" s="353">
        <v>110.02</v>
      </c>
      <c r="G732" s="353">
        <v>100</v>
      </c>
    </row>
    <row r="733" spans="1:7" ht="19.5" customHeight="1">
      <c r="A733" s="351" t="s">
        <v>1231</v>
      </c>
      <c r="B733" s="352">
        <v>59</v>
      </c>
      <c r="C733" s="352">
        <v>78</v>
      </c>
      <c r="D733" s="191">
        <v>78</v>
      </c>
      <c r="E733" s="191">
        <v>78</v>
      </c>
      <c r="F733" s="353">
        <v>132.2</v>
      </c>
      <c r="G733" s="353">
        <v>100</v>
      </c>
    </row>
    <row r="734" spans="1:7" ht="19.5" customHeight="1">
      <c r="A734" s="351" t="s">
        <v>563</v>
      </c>
      <c r="B734" s="352">
        <v>2457</v>
      </c>
      <c r="C734" s="352">
        <v>0</v>
      </c>
      <c r="D734" s="352"/>
      <c r="E734" s="352">
        <v>0</v>
      </c>
      <c r="F734" s="353">
        <v>0</v>
      </c>
      <c r="G734" s="353">
        <v>0</v>
      </c>
    </row>
    <row r="735" spans="1:7" ht="19.5" customHeight="1">
      <c r="A735" s="351" t="s">
        <v>1232</v>
      </c>
      <c r="B735" s="352">
        <v>2457</v>
      </c>
      <c r="C735" s="352">
        <v>0</v>
      </c>
      <c r="D735" s="352"/>
      <c r="E735" s="352">
        <v>0</v>
      </c>
      <c r="F735" s="353">
        <v>0</v>
      </c>
      <c r="G735" s="353">
        <v>0</v>
      </c>
    </row>
    <row r="736" spans="1:7" ht="19.5" customHeight="1">
      <c r="A736" s="351" t="s">
        <v>1233</v>
      </c>
      <c r="B736" s="352">
        <v>2457</v>
      </c>
      <c r="C736" s="352">
        <v>0</v>
      </c>
      <c r="D736" s="352"/>
      <c r="E736" s="352">
        <v>0</v>
      </c>
      <c r="F736" s="353">
        <v>0</v>
      </c>
      <c r="G736" s="353">
        <v>0</v>
      </c>
    </row>
    <row r="737" spans="1:7" ht="19.5" customHeight="1">
      <c r="A737" s="348" t="s">
        <v>1234</v>
      </c>
      <c r="B737" s="354">
        <v>12800</v>
      </c>
      <c r="C737" s="354">
        <v>12800</v>
      </c>
      <c r="D737" s="354">
        <v>12800</v>
      </c>
      <c r="E737" s="354">
        <v>0</v>
      </c>
      <c r="F737" s="350">
        <v>0</v>
      </c>
      <c r="G737" s="350">
        <v>0</v>
      </c>
    </row>
    <row r="738" spans="1:7" ht="19.5" customHeight="1">
      <c r="A738" s="351" t="s">
        <v>562</v>
      </c>
      <c r="B738" s="165">
        <v>11800</v>
      </c>
      <c r="C738" s="165">
        <v>11800</v>
      </c>
      <c r="D738" s="165">
        <v>11800</v>
      </c>
      <c r="E738" s="165">
        <v>0</v>
      </c>
      <c r="F738" s="353">
        <v>0</v>
      </c>
      <c r="G738" s="353">
        <v>0</v>
      </c>
    </row>
    <row r="739" spans="1:7" ht="19.5" customHeight="1">
      <c r="A739" s="351" t="s">
        <v>563</v>
      </c>
      <c r="B739" s="165">
        <v>1000</v>
      </c>
      <c r="C739" s="165">
        <v>1000</v>
      </c>
      <c r="D739" s="165">
        <v>1000</v>
      </c>
      <c r="E739" s="165">
        <v>0</v>
      </c>
      <c r="F739" s="353">
        <v>0</v>
      </c>
      <c r="G739" s="353">
        <v>0</v>
      </c>
    </row>
    <row r="740" spans="1:7" ht="19.5" customHeight="1">
      <c r="A740" s="351" t="s">
        <v>1232</v>
      </c>
      <c r="B740" s="165">
        <v>1000</v>
      </c>
      <c r="C740" s="165">
        <v>1000</v>
      </c>
      <c r="D740" s="165">
        <v>1000</v>
      </c>
      <c r="E740" s="165">
        <v>0</v>
      </c>
      <c r="F740" s="353">
        <v>0</v>
      </c>
      <c r="G740" s="353">
        <v>0</v>
      </c>
    </row>
    <row r="741" spans="1:7" ht="19.5" customHeight="1">
      <c r="A741" s="351" t="s">
        <v>1233</v>
      </c>
      <c r="B741" s="165">
        <v>1000</v>
      </c>
      <c r="C741" s="165">
        <v>1000</v>
      </c>
      <c r="D741" s="165">
        <v>1000</v>
      </c>
      <c r="E741" s="165">
        <v>0</v>
      </c>
      <c r="F741" s="353">
        <v>0</v>
      </c>
      <c r="G741" s="353">
        <v>0</v>
      </c>
    </row>
    <row r="742" spans="1:7" ht="19.5" customHeight="1">
      <c r="A742" s="355" t="s">
        <v>1235</v>
      </c>
      <c r="B742" s="355"/>
      <c r="C742" s="355"/>
      <c r="D742" s="355"/>
      <c r="E742" s="355"/>
      <c r="F742" s="355"/>
      <c r="G742" s="355"/>
    </row>
  </sheetData>
  <sheetProtection/>
  <autoFilter ref="A5:G742"/>
  <mergeCells count="8">
    <mergeCell ref="A2:G2"/>
    <mergeCell ref="A4:A5"/>
    <mergeCell ref="B4:B5"/>
    <mergeCell ref="C4:C5"/>
    <mergeCell ref="E4:E5"/>
    <mergeCell ref="F4:F5"/>
    <mergeCell ref="G4:G5"/>
    <mergeCell ref="D4:D5"/>
  </mergeCells>
  <printOptions horizontalCentered="1"/>
  <pageMargins left="0.7480314960629921" right="0.7480314960629921" top="0.4330708661417323" bottom="0.4724409448818898" header="0.31496062992125984" footer="0.2362204724409449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67"/>
  <sheetViews>
    <sheetView zoomScalePageLayoutView="0" workbookViewId="0" topLeftCell="A1">
      <selection activeCell="G12" sqref="G12"/>
    </sheetView>
  </sheetViews>
  <sheetFormatPr defaultColWidth="9.00390625" defaultRowHeight="14.25"/>
  <cols>
    <col min="1" max="1" width="56.00390625" style="21" bestFit="1" customWidth="1"/>
    <col min="2" max="3" width="12.625" style="83" customWidth="1"/>
    <col min="4" max="4" width="12.625" style="83" hidden="1" customWidth="1"/>
    <col min="5" max="5" width="12.625" style="84" customWidth="1"/>
    <col min="6" max="7" width="12.625" style="16" customWidth="1"/>
    <col min="8" max="16384" width="9.00390625" style="21" customWidth="1"/>
  </cols>
  <sheetData>
    <row r="1" spans="1:7" ht="15">
      <c r="A1" s="228" t="s">
        <v>1267</v>
      </c>
      <c r="B1"/>
      <c r="C1"/>
      <c r="D1"/>
      <c r="E1"/>
      <c r="F1"/>
      <c r="G1"/>
    </row>
    <row r="2" spans="1:7" ht="20.25">
      <c r="A2" s="369" t="s">
        <v>1301</v>
      </c>
      <c r="B2" s="369"/>
      <c r="C2" s="369"/>
      <c r="D2" s="369"/>
      <c r="E2" s="369"/>
      <c r="F2" s="369"/>
      <c r="G2" s="369"/>
    </row>
    <row r="3" spans="1:7" ht="14.25">
      <c r="A3" s="230"/>
      <c r="B3" s="231"/>
      <c r="C3" s="231"/>
      <c r="D3" s="231"/>
      <c r="E3" s="231"/>
      <c r="F3" s="232"/>
      <c r="G3" s="233" t="s">
        <v>688</v>
      </c>
    </row>
    <row r="4" spans="1:7" ht="35.25" customHeight="1">
      <c r="A4" s="253" t="s">
        <v>689</v>
      </c>
      <c r="B4" s="254" t="s">
        <v>690</v>
      </c>
      <c r="C4" s="255" t="s">
        <v>1236</v>
      </c>
      <c r="D4" s="252" t="s">
        <v>574</v>
      </c>
      <c r="E4" s="256" t="s">
        <v>43</v>
      </c>
      <c r="F4" s="305" t="s">
        <v>20</v>
      </c>
      <c r="G4" s="305" t="s">
        <v>45</v>
      </c>
    </row>
    <row r="5" spans="1:7" ht="19.5" customHeight="1">
      <c r="A5" s="259" t="s">
        <v>568</v>
      </c>
      <c r="B5" s="235">
        <v>129512</v>
      </c>
      <c r="C5" s="235">
        <v>106520</v>
      </c>
      <c r="D5" s="235">
        <v>97873.134086</v>
      </c>
      <c r="E5" s="235">
        <v>96824.98417799997</v>
      </c>
      <c r="F5" s="304">
        <f>E5/B5*100</f>
        <v>74.76</v>
      </c>
      <c r="G5" s="304">
        <f>E5/C5*100</f>
        <v>90.9</v>
      </c>
    </row>
    <row r="6" spans="1:7" ht="19.5" customHeight="1">
      <c r="A6" s="234" t="s">
        <v>1237</v>
      </c>
      <c r="B6" s="235">
        <v>129512</v>
      </c>
      <c r="C6" s="235">
        <v>106520</v>
      </c>
      <c r="D6" s="235">
        <v>97873</v>
      </c>
      <c r="E6" s="235">
        <v>96825</v>
      </c>
      <c r="F6" s="304">
        <f aca="true" t="shared" si="0" ref="F6:F67">E6/B6*100</f>
        <v>74.76</v>
      </c>
      <c r="G6" s="304">
        <f aca="true" t="shared" si="1" ref="G6:G65">E6/C6*100</f>
        <v>90.9</v>
      </c>
    </row>
    <row r="7" spans="1:7" ht="19.5" customHeight="1">
      <c r="A7" s="236" t="s">
        <v>544</v>
      </c>
      <c r="B7" s="198">
        <v>8</v>
      </c>
      <c r="C7" s="229">
        <v>8</v>
      </c>
      <c r="D7" s="229">
        <v>8</v>
      </c>
      <c r="E7" s="229">
        <v>8</v>
      </c>
      <c r="F7" s="303">
        <f t="shared" si="0"/>
        <v>100</v>
      </c>
      <c r="G7" s="303">
        <f t="shared" si="1"/>
        <v>100</v>
      </c>
    </row>
    <row r="8" spans="1:7" ht="19.5" customHeight="1">
      <c r="A8" s="236" t="s">
        <v>1238</v>
      </c>
      <c r="B8" s="198">
        <v>8</v>
      </c>
      <c r="C8" s="229">
        <v>8</v>
      </c>
      <c r="D8" s="229">
        <v>8</v>
      </c>
      <c r="E8" s="229">
        <v>8</v>
      </c>
      <c r="F8" s="303">
        <f t="shared" si="0"/>
        <v>100</v>
      </c>
      <c r="G8" s="303">
        <f t="shared" si="1"/>
        <v>100</v>
      </c>
    </row>
    <row r="9" spans="1:7" ht="19.5" customHeight="1">
      <c r="A9" s="236" t="s">
        <v>1239</v>
      </c>
      <c r="B9" s="198">
        <v>8</v>
      </c>
      <c r="C9" s="229">
        <v>8</v>
      </c>
      <c r="D9" s="229">
        <v>8</v>
      </c>
      <c r="E9" s="229">
        <v>8</v>
      </c>
      <c r="F9" s="303">
        <f t="shared" si="0"/>
        <v>100</v>
      </c>
      <c r="G9" s="303">
        <f t="shared" si="1"/>
        <v>100</v>
      </c>
    </row>
    <row r="10" spans="1:7" ht="19.5" customHeight="1">
      <c r="A10" s="236" t="s">
        <v>549</v>
      </c>
      <c r="B10" s="198">
        <v>4321</v>
      </c>
      <c r="C10" s="229">
        <v>4922</v>
      </c>
      <c r="D10" s="229">
        <v>4926</v>
      </c>
      <c r="E10" s="229">
        <v>4926</v>
      </c>
      <c r="F10" s="303">
        <f t="shared" si="0"/>
        <v>114</v>
      </c>
      <c r="G10" s="303">
        <f t="shared" si="1"/>
        <v>100.08</v>
      </c>
    </row>
    <row r="11" spans="1:7" ht="19.5" customHeight="1">
      <c r="A11" s="236" t="s">
        <v>1203</v>
      </c>
      <c r="B11" s="198">
        <v>650</v>
      </c>
      <c r="C11" s="229">
        <v>650</v>
      </c>
      <c r="D11" s="229">
        <v>650</v>
      </c>
      <c r="E11" s="229">
        <v>650</v>
      </c>
      <c r="F11" s="303">
        <f t="shared" si="0"/>
        <v>100</v>
      </c>
      <c r="G11" s="303">
        <f t="shared" si="1"/>
        <v>100</v>
      </c>
    </row>
    <row r="12" spans="1:7" ht="19.5" customHeight="1">
      <c r="A12" s="236" t="s">
        <v>1240</v>
      </c>
      <c r="B12" s="198">
        <v>10</v>
      </c>
      <c r="C12" s="229">
        <v>10</v>
      </c>
      <c r="D12" s="229">
        <v>10</v>
      </c>
      <c r="E12" s="229">
        <v>10</v>
      </c>
      <c r="F12" s="303">
        <f t="shared" si="0"/>
        <v>100</v>
      </c>
      <c r="G12" s="303">
        <f t="shared" si="1"/>
        <v>100</v>
      </c>
    </row>
    <row r="13" spans="1:7" ht="19.5" customHeight="1">
      <c r="A13" s="236" t="s">
        <v>857</v>
      </c>
      <c r="B13" s="198">
        <v>640</v>
      </c>
      <c r="C13" s="229">
        <v>640</v>
      </c>
      <c r="D13" s="229">
        <v>640</v>
      </c>
      <c r="E13" s="229">
        <v>640</v>
      </c>
      <c r="F13" s="303">
        <f t="shared" si="0"/>
        <v>100</v>
      </c>
      <c r="G13" s="303">
        <f t="shared" si="1"/>
        <v>100</v>
      </c>
    </row>
    <row r="14" spans="1:7" ht="19.5" customHeight="1">
      <c r="A14" s="236" t="s">
        <v>1241</v>
      </c>
      <c r="B14" s="198">
        <v>191</v>
      </c>
      <c r="C14" s="229">
        <v>192</v>
      </c>
      <c r="D14" s="229">
        <v>192</v>
      </c>
      <c r="E14" s="229">
        <v>192</v>
      </c>
      <c r="F14" s="303">
        <f t="shared" si="0"/>
        <v>100.52</v>
      </c>
      <c r="G14" s="303">
        <f t="shared" si="1"/>
        <v>100</v>
      </c>
    </row>
    <row r="15" spans="1:7" ht="19.5" customHeight="1">
      <c r="A15" s="236" t="s">
        <v>859</v>
      </c>
      <c r="B15" s="198">
        <v>37</v>
      </c>
      <c r="C15" s="229">
        <v>37</v>
      </c>
      <c r="D15" s="229">
        <v>37</v>
      </c>
      <c r="E15" s="229">
        <v>37</v>
      </c>
      <c r="F15" s="303">
        <f t="shared" si="0"/>
        <v>100</v>
      </c>
      <c r="G15" s="303">
        <f t="shared" si="1"/>
        <v>100</v>
      </c>
    </row>
    <row r="16" spans="1:7" ht="19.5" customHeight="1">
      <c r="A16" s="236" t="s">
        <v>860</v>
      </c>
      <c r="B16" s="198">
        <v>155</v>
      </c>
      <c r="C16" s="229">
        <v>156</v>
      </c>
      <c r="D16" s="229">
        <v>156</v>
      </c>
      <c r="E16" s="229">
        <v>156</v>
      </c>
      <c r="F16" s="303">
        <f t="shared" si="0"/>
        <v>100.65</v>
      </c>
      <c r="G16" s="303">
        <f t="shared" si="1"/>
        <v>100</v>
      </c>
    </row>
    <row r="17" spans="1:7" ht="19.5" customHeight="1">
      <c r="A17" s="236" t="s">
        <v>1242</v>
      </c>
      <c r="B17" s="198">
        <v>82.0875</v>
      </c>
      <c r="C17" s="229">
        <v>82.0875</v>
      </c>
      <c r="D17" s="229">
        <v>82</v>
      </c>
      <c r="E17" s="229">
        <v>82</v>
      </c>
      <c r="F17" s="303">
        <f t="shared" si="0"/>
        <v>99.89</v>
      </c>
      <c r="G17" s="303">
        <f t="shared" si="1"/>
        <v>99.89</v>
      </c>
    </row>
    <row r="18" spans="1:7" ht="19.5" customHeight="1">
      <c r="A18" s="236" t="s">
        <v>862</v>
      </c>
      <c r="B18" s="198">
        <v>82.0875</v>
      </c>
      <c r="C18" s="229">
        <v>82.0875</v>
      </c>
      <c r="D18" s="229">
        <v>82</v>
      </c>
      <c r="E18" s="229">
        <v>82</v>
      </c>
      <c r="F18" s="303">
        <f t="shared" si="0"/>
        <v>99.89</v>
      </c>
      <c r="G18" s="303">
        <f t="shared" si="1"/>
        <v>99.89</v>
      </c>
    </row>
    <row r="19" spans="1:7" ht="19.5" customHeight="1">
      <c r="A19" s="236" t="s">
        <v>1243</v>
      </c>
      <c r="B19" s="198">
        <v>80</v>
      </c>
      <c r="C19" s="229">
        <v>80</v>
      </c>
      <c r="D19" s="229">
        <v>80</v>
      </c>
      <c r="E19" s="229">
        <v>80</v>
      </c>
      <c r="F19" s="303">
        <f t="shared" si="0"/>
        <v>100</v>
      </c>
      <c r="G19" s="303">
        <f t="shared" si="1"/>
        <v>100</v>
      </c>
    </row>
    <row r="20" spans="1:7" ht="19.5" customHeight="1">
      <c r="A20" s="236" t="s">
        <v>1244</v>
      </c>
      <c r="B20" s="198">
        <v>80</v>
      </c>
      <c r="C20" s="229">
        <v>80</v>
      </c>
      <c r="D20" s="229">
        <v>80</v>
      </c>
      <c r="E20" s="229">
        <v>80</v>
      </c>
      <c r="F20" s="303">
        <f t="shared" si="0"/>
        <v>100</v>
      </c>
      <c r="G20" s="303">
        <f t="shared" si="1"/>
        <v>100</v>
      </c>
    </row>
    <row r="21" spans="1:7" ht="19.5" customHeight="1">
      <c r="A21" s="236" t="s">
        <v>1245</v>
      </c>
      <c r="B21" s="198">
        <v>510</v>
      </c>
      <c r="C21" s="229">
        <v>510</v>
      </c>
      <c r="D21" s="229">
        <v>510</v>
      </c>
      <c r="E21" s="229">
        <v>510</v>
      </c>
      <c r="F21" s="303">
        <f t="shared" si="0"/>
        <v>100</v>
      </c>
      <c r="G21" s="303">
        <f t="shared" si="1"/>
        <v>100</v>
      </c>
    </row>
    <row r="22" spans="1:7" ht="19.5" customHeight="1">
      <c r="A22" s="236" t="s">
        <v>872</v>
      </c>
      <c r="B22" s="198">
        <v>510</v>
      </c>
      <c r="C22" s="229">
        <v>510</v>
      </c>
      <c r="D22" s="229">
        <v>510</v>
      </c>
      <c r="E22" s="229">
        <v>510</v>
      </c>
      <c r="F22" s="303">
        <f t="shared" si="0"/>
        <v>100</v>
      </c>
      <c r="G22" s="303">
        <f t="shared" si="1"/>
        <v>100</v>
      </c>
    </row>
    <row r="23" spans="1:7" ht="19.5" customHeight="1">
      <c r="A23" s="236" t="s">
        <v>1246</v>
      </c>
      <c r="B23" s="198">
        <v>53</v>
      </c>
      <c r="C23" s="229">
        <v>53</v>
      </c>
      <c r="D23" s="229">
        <v>53</v>
      </c>
      <c r="E23" s="229">
        <v>53</v>
      </c>
      <c r="F23" s="303">
        <f t="shared" si="0"/>
        <v>100</v>
      </c>
      <c r="G23" s="303">
        <f t="shared" si="1"/>
        <v>100</v>
      </c>
    </row>
    <row r="24" spans="1:7" ht="19.5" customHeight="1">
      <c r="A24" s="236" t="s">
        <v>1247</v>
      </c>
      <c r="B24" s="198">
        <v>53</v>
      </c>
      <c r="C24" s="229">
        <v>53</v>
      </c>
      <c r="D24" s="229">
        <v>53</v>
      </c>
      <c r="E24" s="229">
        <v>53</v>
      </c>
      <c r="F24" s="303">
        <f t="shared" si="0"/>
        <v>100</v>
      </c>
      <c r="G24" s="303">
        <f t="shared" si="1"/>
        <v>100</v>
      </c>
    </row>
    <row r="25" spans="1:7" ht="19.5" customHeight="1">
      <c r="A25" s="236" t="s">
        <v>1248</v>
      </c>
      <c r="B25" s="198">
        <v>2753.97</v>
      </c>
      <c r="C25" s="229">
        <v>3353.97</v>
      </c>
      <c r="D25" s="229">
        <v>3358</v>
      </c>
      <c r="E25" s="229">
        <v>3358</v>
      </c>
      <c r="F25" s="303">
        <f t="shared" si="0"/>
        <v>121.93</v>
      </c>
      <c r="G25" s="303">
        <f t="shared" si="1"/>
        <v>100.12</v>
      </c>
    </row>
    <row r="26" spans="1:7" ht="19.5" customHeight="1">
      <c r="A26" s="236" t="s">
        <v>875</v>
      </c>
      <c r="B26" s="198">
        <v>2753.97</v>
      </c>
      <c r="C26" s="229">
        <v>3353.97</v>
      </c>
      <c r="D26" s="229">
        <v>3358</v>
      </c>
      <c r="E26" s="229">
        <v>3358</v>
      </c>
      <c r="F26" s="303">
        <f t="shared" si="0"/>
        <v>121.93</v>
      </c>
      <c r="G26" s="303">
        <f t="shared" si="1"/>
        <v>100.12</v>
      </c>
    </row>
    <row r="27" spans="1:7" ht="19.5" customHeight="1">
      <c r="A27" s="236" t="s">
        <v>550</v>
      </c>
      <c r="B27" s="198">
        <v>8169</v>
      </c>
      <c r="C27" s="229">
        <v>9515</v>
      </c>
      <c r="D27" s="229">
        <v>9882</v>
      </c>
      <c r="E27" s="229">
        <v>9882</v>
      </c>
      <c r="F27" s="303">
        <f t="shared" si="0"/>
        <v>120.97</v>
      </c>
      <c r="G27" s="303">
        <f t="shared" si="1"/>
        <v>103.86</v>
      </c>
    </row>
    <row r="28" spans="1:7" ht="19.5" customHeight="1">
      <c r="A28" s="236" t="s">
        <v>1249</v>
      </c>
      <c r="B28" s="198">
        <v>1132</v>
      </c>
      <c r="C28" s="229">
        <v>1675</v>
      </c>
      <c r="D28" s="229">
        <v>1675</v>
      </c>
      <c r="E28" s="229">
        <v>1675</v>
      </c>
      <c r="F28" s="303">
        <f t="shared" si="0"/>
        <v>147.97</v>
      </c>
      <c r="G28" s="303">
        <f t="shared" si="1"/>
        <v>100</v>
      </c>
    </row>
    <row r="29" spans="1:7" ht="19.5" customHeight="1">
      <c r="A29" s="236" t="s">
        <v>880</v>
      </c>
      <c r="B29" s="198">
        <v>1132</v>
      </c>
      <c r="C29" s="229">
        <v>1675</v>
      </c>
      <c r="D29" s="229">
        <v>1675</v>
      </c>
      <c r="E29" s="229">
        <v>1675</v>
      </c>
      <c r="F29" s="303">
        <f t="shared" si="0"/>
        <v>147.97</v>
      </c>
      <c r="G29" s="303">
        <f t="shared" si="1"/>
        <v>100</v>
      </c>
    </row>
    <row r="30" spans="1:7" ht="19.5" customHeight="1">
      <c r="A30" s="236" t="s">
        <v>1206</v>
      </c>
      <c r="B30" s="198">
        <v>545</v>
      </c>
      <c r="C30" s="229">
        <v>545</v>
      </c>
      <c r="D30" s="229">
        <v>571</v>
      </c>
      <c r="E30" s="229">
        <v>571</v>
      </c>
      <c r="F30" s="303">
        <f t="shared" si="0"/>
        <v>104.77</v>
      </c>
      <c r="G30" s="303">
        <f t="shared" si="1"/>
        <v>104.77</v>
      </c>
    </row>
    <row r="31" spans="1:7" ht="19.5" customHeight="1">
      <c r="A31" s="236" t="s">
        <v>882</v>
      </c>
      <c r="B31" s="198">
        <v>545</v>
      </c>
      <c r="C31" s="229">
        <v>545</v>
      </c>
      <c r="D31" s="229">
        <v>571</v>
      </c>
      <c r="E31" s="229">
        <v>571</v>
      </c>
      <c r="F31" s="303">
        <f t="shared" si="0"/>
        <v>104.77</v>
      </c>
      <c r="G31" s="303">
        <f t="shared" si="1"/>
        <v>104.77</v>
      </c>
    </row>
    <row r="32" spans="1:7" ht="19.5" customHeight="1">
      <c r="A32" s="225" t="s">
        <v>1210</v>
      </c>
      <c r="B32" s="198"/>
      <c r="C32" s="229"/>
      <c r="D32" s="229">
        <v>358</v>
      </c>
      <c r="E32" s="229">
        <v>358</v>
      </c>
      <c r="F32" s="303"/>
      <c r="G32" s="303"/>
    </row>
    <row r="33" spans="1:7" ht="19.5" customHeight="1">
      <c r="A33" s="225" t="s">
        <v>1213</v>
      </c>
      <c r="B33" s="198"/>
      <c r="C33" s="229"/>
      <c r="D33" s="229">
        <v>358</v>
      </c>
      <c r="E33" s="229">
        <v>358</v>
      </c>
      <c r="F33" s="303"/>
      <c r="G33" s="303"/>
    </row>
    <row r="34" spans="1:7" ht="19.5" customHeight="1">
      <c r="A34" s="236" t="s">
        <v>1250</v>
      </c>
      <c r="B34" s="198">
        <v>6076</v>
      </c>
      <c r="C34" s="229">
        <v>6559</v>
      </c>
      <c r="D34" s="229">
        <v>6559</v>
      </c>
      <c r="E34" s="229">
        <v>6559</v>
      </c>
      <c r="F34" s="303">
        <f t="shared" si="0"/>
        <v>107.95</v>
      </c>
      <c r="G34" s="303">
        <f t="shared" si="1"/>
        <v>100</v>
      </c>
    </row>
    <row r="35" spans="1:7" ht="19.5" customHeight="1">
      <c r="A35" s="236" t="s">
        <v>884</v>
      </c>
      <c r="B35" s="198">
        <v>0</v>
      </c>
      <c r="C35" s="229">
        <v>6559</v>
      </c>
      <c r="D35" s="229">
        <v>6559</v>
      </c>
      <c r="E35" s="229">
        <v>6559</v>
      </c>
      <c r="F35" s="303"/>
      <c r="G35" s="303">
        <f t="shared" si="1"/>
        <v>100</v>
      </c>
    </row>
    <row r="36" spans="1:7" ht="19.5" customHeight="1">
      <c r="A36" s="236" t="s">
        <v>1251</v>
      </c>
      <c r="B36" s="198">
        <v>6076</v>
      </c>
      <c r="C36" s="229">
        <v>0</v>
      </c>
      <c r="D36" s="229">
        <v>0</v>
      </c>
      <c r="E36" s="229">
        <v>0</v>
      </c>
      <c r="F36" s="303">
        <f t="shared" si="0"/>
        <v>0</v>
      </c>
      <c r="G36" s="303"/>
    </row>
    <row r="37" spans="1:7" ht="19.5" customHeight="1">
      <c r="A37" s="236" t="s">
        <v>1252</v>
      </c>
      <c r="B37" s="198">
        <v>311</v>
      </c>
      <c r="C37" s="229">
        <v>631</v>
      </c>
      <c r="D37" s="229">
        <v>617</v>
      </c>
      <c r="E37" s="229">
        <v>617</v>
      </c>
      <c r="F37" s="303">
        <f t="shared" si="0"/>
        <v>198.39</v>
      </c>
      <c r="G37" s="303">
        <f t="shared" si="1"/>
        <v>97.78</v>
      </c>
    </row>
    <row r="38" spans="1:7" ht="19.5" customHeight="1">
      <c r="A38" s="236" t="s">
        <v>885</v>
      </c>
      <c r="B38" s="198">
        <v>311</v>
      </c>
      <c r="C38" s="229">
        <v>631</v>
      </c>
      <c r="D38" s="229">
        <v>617</v>
      </c>
      <c r="E38" s="229">
        <v>617</v>
      </c>
      <c r="F38" s="303">
        <f t="shared" si="0"/>
        <v>198.39</v>
      </c>
      <c r="G38" s="303">
        <f t="shared" si="1"/>
        <v>97.78</v>
      </c>
    </row>
    <row r="39" spans="1:7" ht="19.5" customHeight="1">
      <c r="A39" s="236" t="s">
        <v>1253</v>
      </c>
      <c r="B39" s="198">
        <v>105.6</v>
      </c>
      <c r="C39" s="229">
        <v>106</v>
      </c>
      <c r="D39" s="229">
        <v>102</v>
      </c>
      <c r="E39" s="229">
        <v>102</v>
      </c>
      <c r="F39" s="303">
        <f t="shared" si="0"/>
        <v>96.59</v>
      </c>
      <c r="G39" s="303">
        <f t="shared" si="1"/>
        <v>96.23</v>
      </c>
    </row>
    <row r="40" spans="1:7" ht="19.5" customHeight="1">
      <c r="A40" s="236" t="s">
        <v>886</v>
      </c>
      <c r="B40" s="198">
        <v>105.6</v>
      </c>
      <c r="C40" s="229">
        <v>106</v>
      </c>
      <c r="D40" s="229">
        <v>102</v>
      </c>
      <c r="E40" s="229">
        <v>102</v>
      </c>
      <c r="F40" s="303">
        <f t="shared" si="0"/>
        <v>96.59</v>
      </c>
      <c r="G40" s="303">
        <f t="shared" si="1"/>
        <v>96.23</v>
      </c>
    </row>
    <row r="41" spans="1:7" ht="19.5" customHeight="1">
      <c r="A41" s="236" t="s">
        <v>551</v>
      </c>
      <c r="B41" s="198">
        <v>3600.5</v>
      </c>
      <c r="C41" s="229">
        <v>5241</v>
      </c>
      <c r="D41" s="229">
        <v>4637</v>
      </c>
      <c r="E41" s="229">
        <v>3807</v>
      </c>
      <c r="F41" s="303">
        <f t="shared" si="0"/>
        <v>105.74</v>
      </c>
      <c r="G41" s="303">
        <f t="shared" si="1"/>
        <v>72.64</v>
      </c>
    </row>
    <row r="42" spans="1:7" ht="19.5" customHeight="1">
      <c r="A42" s="236" t="s">
        <v>1214</v>
      </c>
      <c r="B42" s="198">
        <v>3600.5</v>
      </c>
      <c r="C42" s="229">
        <v>5241</v>
      </c>
      <c r="D42" s="229">
        <v>4637</v>
      </c>
      <c r="E42" s="229">
        <v>3807</v>
      </c>
      <c r="F42" s="303">
        <f t="shared" si="0"/>
        <v>105.74</v>
      </c>
      <c r="G42" s="303">
        <f t="shared" si="1"/>
        <v>72.64</v>
      </c>
    </row>
    <row r="43" spans="1:7" ht="19.5" customHeight="1">
      <c r="A43" s="236" t="s">
        <v>887</v>
      </c>
      <c r="B43" s="198">
        <v>0</v>
      </c>
      <c r="C43" s="229">
        <v>881.805</v>
      </c>
      <c r="D43" s="229">
        <v>882</v>
      </c>
      <c r="E43" s="229">
        <v>882</v>
      </c>
      <c r="F43" s="303"/>
      <c r="G43" s="303">
        <f t="shared" si="1"/>
        <v>100.02</v>
      </c>
    </row>
    <row r="44" spans="1:7" ht="19.5" customHeight="1">
      <c r="A44" s="236" t="s">
        <v>1170</v>
      </c>
      <c r="B44" s="198">
        <v>0</v>
      </c>
      <c r="C44" s="229">
        <v>4359</v>
      </c>
      <c r="D44" s="229">
        <v>3755</v>
      </c>
      <c r="E44" s="229">
        <v>2926</v>
      </c>
      <c r="F44" s="303"/>
      <c r="G44" s="303">
        <f t="shared" si="1"/>
        <v>67.13</v>
      </c>
    </row>
    <row r="45" spans="1:7" ht="19.5" customHeight="1">
      <c r="A45" s="236" t="s">
        <v>1215</v>
      </c>
      <c r="B45" s="198">
        <v>3600.5</v>
      </c>
      <c r="C45" s="229">
        <v>0</v>
      </c>
      <c r="D45" s="229">
        <v>0</v>
      </c>
      <c r="E45" s="229">
        <v>0</v>
      </c>
      <c r="F45" s="303">
        <f t="shared" si="0"/>
        <v>0</v>
      </c>
      <c r="G45" s="303"/>
    </row>
    <row r="46" spans="1:7" ht="19.5" customHeight="1">
      <c r="A46" s="236" t="s">
        <v>552</v>
      </c>
      <c r="B46" s="198">
        <v>3258.3125</v>
      </c>
      <c r="C46" s="229">
        <v>3746</v>
      </c>
      <c r="D46" s="229">
        <v>3746</v>
      </c>
      <c r="E46" s="229">
        <v>3746</v>
      </c>
      <c r="F46" s="303">
        <f t="shared" si="0"/>
        <v>114.97</v>
      </c>
      <c r="G46" s="303">
        <f t="shared" si="1"/>
        <v>100</v>
      </c>
    </row>
    <row r="47" spans="1:7" ht="19.5" customHeight="1">
      <c r="A47" s="236" t="s">
        <v>1217</v>
      </c>
      <c r="B47" s="198">
        <v>2446</v>
      </c>
      <c r="C47" s="229">
        <v>2934</v>
      </c>
      <c r="D47" s="229">
        <v>2934</v>
      </c>
      <c r="E47" s="229">
        <v>2934</v>
      </c>
      <c r="F47" s="303">
        <f t="shared" si="0"/>
        <v>119.95</v>
      </c>
      <c r="G47" s="303">
        <f t="shared" si="1"/>
        <v>100</v>
      </c>
    </row>
    <row r="48" spans="1:7" ht="19.5" customHeight="1">
      <c r="A48" s="236" t="s">
        <v>1219</v>
      </c>
      <c r="B48" s="198">
        <v>2446</v>
      </c>
      <c r="C48" s="229">
        <v>2934</v>
      </c>
      <c r="D48" s="229">
        <v>2934</v>
      </c>
      <c r="E48" s="229">
        <v>2934</v>
      </c>
      <c r="F48" s="303">
        <f t="shared" si="0"/>
        <v>119.95</v>
      </c>
      <c r="G48" s="303">
        <f t="shared" si="1"/>
        <v>100</v>
      </c>
    </row>
    <row r="49" spans="1:7" ht="19.5" customHeight="1">
      <c r="A49" s="236" t="s">
        <v>1223</v>
      </c>
      <c r="B49" s="198">
        <v>812</v>
      </c>
      <c r="C49" s="229">
        <v>812</v>
      </c>
      <c r="D49" s="229">
        <v>812</v>
      </c>
      <c r="E49" s="229">
        <v>812</v>
      </c>
      <c r="F49" s="303">
        <f t="shared" si="0"/>
        <v>100</v>
      </c>
      <c r="G49" s="303">
        <f t="shared" si="1"/>
        <v>100</v>
      </c>
    </row>
    <row r="50" spans="1:7" ht="19.5" customHeight="1">
      <c r="A50" s="236" t="s">
        <v>890</v>
      </c>
      <c r="B50" s="198">
        <v>812</v>
      </c>
      <c r="C50" s="229">
        <v>812</v>
      </c>
      <c r="D50" s="229">
        <v>812</v>
      </c>
      <c r="E50" s="229">
        <v>812</v>
      </c>
      <c r="F50" s="303">
        <f t="shared" si="0"/>
        <v>100</v>
      </c>
      <c r="G50" s="303">
        <f t="shared" si="1"/>
        <v>100</v>
      </c>
    </row>
    <row r="51" spans="1:7" ht="19.5" customHeight="1">
      <c r="A51" s="236" t="s">
        <v>553</v>
      </c>
      <c r="B51" s="198">
        <v>1688</v>
      </c>
      <c r="C51" s="229">
        <v>103</v>
      </c>
      <c r="D51" s="229">
        <v>103</v>
      </c>
      <c r="E51" s="229">
        <v>103</v>
      </c>
      <c r="F51" s="303">
        <f t="shared" si="0"/>
        <v>6.1</v>
      </c>
      <c r="G51" s="303">
        <f t="shared" si="1"/>
        <v>100</v>
      </c>
    </row>
    <row r="52" spans="1:7" ht="19.5" customHeight="1">
      <c r="A52" s="236" t="s">
        <v>1254</v>
      </c>
      <c r="B52" s="198">
        <v>61</v>
      </c>
      <c r="C52" s="229">
        <v>0</v>
      </c>
      <c r="D52" s="229">
        <v>0</v>
      </c>
      <c r="E52" s="229">
        <v>0</v>
      </c>
      <c r="F52" s="303">
        <f t="shared" si="0"/>
        <v>0</v>
      </c>
      <c r="G52" s="303"/>
    </row>
    <row r="53" spans="1:7" ht="19.5" customHeight="1">
      <c r="A53" s="236" t="s">
        <v>1255</v>
      </c>
      <c r="B53" s="198">
        <v>21</v>
      </c>
      <c r="C53" s="229">
        <v>0</v>
      </c>
      <c r="D53" s="229">
        <v>0</v>
      </c>
      <c r="E53" s="229">
        <v>0</v>
      </c>
      <c r="F53" s="303">
        <f t="shared" si="0"/>
        <v>0</v>
      </c>
      <c r="G53" s="303"/>
    </row>
    <row r="54" spans="1:7" ht="19.5" customHeight="1">
      <c r="A54" s="236" t="s">
        <v>1256</v>
      </c>
      <c r="B54" s="198">
        <v>40</v>
      </c>
      <c r="C54" s="229">
        <v>0</v>
      </c>
      <c r="D54" s="229">
        <v>0</v>
      </c>
      <c r="E54" s="229">
        <v>0</v>
      </c>
      <c r="F54" s="303">
        <f t="shared" si="0"/>
        <v>0</v>
      </c>
      <c r="G54" s="303"/>
    </row>
    <row r="55" spans="1:7" ht="19.5" customHeight="1">
      <c r="A55" s="236" t="s">
        <v>1257</v>
      </c>
      <c r="B55" s="198">
        <v>611</v>
      </c>
      <c r="C55" s="229">
        <v>0</v>
      </c>
      <c r="D55" s="229">
        <v>0</v>
      </c>
      <c r="E55" s="229">
        <v>0</v>
      </c>
      <c r="F55" s="303">
        <f t="shared" si="0"/>
        <v>0</v>
      </c>
      <c r="G55" s="303"/>
    </row>
    <row r="56" spans="1:7" ht="19.5" customHeight="1">
      <c r="A56" s="236" t="s">
        <v>1258</v>
      </c>
      <c r="B56" s="198">
        <v>611</v>
      </c>
      <c r="C56" s="229">
        <v>0</v>
      </c>
      <c r="D56" s="229">
        <v>0</v>
      </c>
      <c r="E56" s="229">
        <v>0</v>
      </c>
      <c r="F56" s="303">
        <f t="shared" si="0"/>
        <v>0</v>
      </c>
      <c r="G56" s="303"/>
    </row>
    <row r="57" spans="1:7" ht="19.5" customHeight="1">
      <c r="A57" s="236" t="s">
        <v>1259</v>
      </c>
      <c r="B57" s="198">
        <v>1016</v>
      </c>
      <c r="C57" s="229">
        <v>103</v>
      </c>
      <c r="D57" s="229">
        <v>103</v>
      </c>
      <c r="E57" s="229">
        <v>103</v>
      </c>
      <c r="F57" s="303">
        <f t="shared" si="0"/>
        <v>10.14</v>
      </c>
      <c r="G57" s="303">
        <f t="shared" si="1"/>
        <v>100</v>
      </c>
    </row>
    <row r="58" spans="1:7" ht="19.5" customHeight="1">
      <c r="A58" s="236" t="s">
        <v>1260</v>
      </c>
      <c r="B58" s="198">
        <v>211</v>
      </c>
      <c r="C58" s="229">
        <v>103</v>
      </c>
      <c r="D58" s="229">
        <v>103</v>
      </c>
      <c r="E58" s="229">
        <v>103</v>
      </c>
      <c r="F58" s="303">
        <f t="shared" si="0"/>
        <v>48.82</v>
      </c>
      <c r="G58" s="303">
        <f t="shared" si="1"/>
        <v>100</v>
      </c>
    </row>
    <row r="59" spans="1:7" ht="19.5" customHeight="1">
      <c r="A59" s="236" t="s">
        <v>1261</v>
      </c>
      <c r="B59" s="198">
        <v>804.95</v>
      </c>
      <c r="C59" s="229">
        <v>0</v>
      </c>
      <c r="D59" s="229">
        <v>0</v>
      </c>
      <c r="E59" s="229">
        <v>0</v>
      </c>
      <c r="F59" s="303">
        <f t="shared" si="0"/>
        <v>0</v>
      </c>
      <c r="G59" s="303"/>
    </row>
    <row r="60" spans="1:7" ht="19.5" customHeight="1">
      <c r="A60" s="236" t="s">
        <v>569</v>
      </c>
      <c r="B60" s="198">
        <v>0</v>
      </c>
      <c r="C60" s="229">
        <v>105</v>
      </c>
      <c r="D60" s="229">
        <v>105</v>
      </c>
      <c r="E60" s="229">
        <v>105</v>
      </c>
      <c r="F60" s="303"/>
      <c r="G60" s="303">
        <f t="shared" si="1"/>
        <v>100</v>
      </c>
    </row>
    <row r="61" spans="1:7" ht="19.5" customHeight="1">
      <c r="A61" s="236" t="s">
        <v>1228</v>
      </c>
      <c r="B61" s="198">
        <v>0</v>
      </c>
      <c r="C61" s="229">
        <v>105</v>
      </c>
      <c r="D61" s="229">
        <v>105</v>
      </c>
      <c r="E61" s="229">
        <v>105</v>
      </c>
      <c r="F61" s="303"/>
      <c r="G61" s="303">
        <f t="shared" si="1"/>
        <v>100</v>
      </c>
    </row>
    <row r="62" spans="1:7" ht="19.5" customHeight="1">
      <c r="A62" s="236" t="s">
        <v>1082</v>
      </c>
      <c r="B62" s="198">
        <v>0</v>
      </c>
      <c r="C62" s="229">
        <v>105</v>
      </c>
      <c r="D62" s="229">
        <v>105</v>
      </c>
      <c r="E62" s="229">
        <v>105</v>
      </c>
      <c r="F62" s="303"/>
      <c r="G62" s="303">
        <f t="shared" si="1"/>
        <v>100</v>
      </c>
    </row>
    <row r="63" spans="1:7" ht="19.5" customHeight="1">
      <c r="A63" s="236" t="s">
        <v>564</v>
      </c>
      <c r="B63" s="198">
        <v>108466</v>
      </c>
      <c r="C63" s="229">
        <v>82880</v>
      </c>
      <c r="D63" s="229">
        <v>74466</v>
      </c>
      <c r="E63" s="229">
        <v>74247</v>
      </c>
      <c r="F63" s="303">
        <f t="shared" si="0"/>
        <v>68.45</v>
      </c>
      <c r="G63" s="303">
        <f t="shared" si="1"/>
        <v>89.58</v>
      </c>
    </row>
    <row r="64" spans="1:7" ht="19.5" customHeight="1">
      <c r="A64" s="236" t="s">
        <v>1262</v>
      </c>
      <c r="B64" s="198">
        <v>0</v>
      </c>
      <c r="C64" s="229">
        <v>82880</v>
      </c>
      <c r="D64" s="229">
        <v>74466</v>
      </c>
      <c r="E64" s="229">
        <v>74247</v>
      </c>
      <c r="F64" s="303"/>
      <c r="G64" s="303">
        <f t="shared" si="1"/>
        <v>89.58</v>
      </c>
    </row>
    <row r="65" spans="1:7" ht="19.5" customHeight="1">
      <c r="A65" s="236" t="s">
        <v>1263</v>
      </c>
      <c r="B65" s="198">
        <v>0</v>
      </c>
      <c r="C65" s="229">
        <v>82880</v>
      </c>
      <c r="D65" s="229">
        <v>74466</v>
      </c>
      <c r="E65" s="229">
        <v>74247</v>
      </c>
      <c r="F65" s="303"/>
      <c r="G65" s="303">
        <f t="shared" si="1"/>
        <v>89.58</v>
      </c>
    </row>
    <row r="66" spans="1:7" ht="19.5" customHeight="1">
      <c r="A66" s="236" t="s">
        <v>1264</v>
      </c>
      <c r="B66" s="198">
        <v>108466</v>
      </c>
      <c r="C66" s="229">
        <v>0</v>
      </c>
      <c r="D66" s="229">
        <v>0</v>
      </c>
      <c r="E66" s="229">
        <v>0</v>
      </c>
      <c r="F66" s="303">
        <f t="shared" si="0"/>
        <v>0</v>
      </c>
      <c r="G66" s="303"/>
    </row>
    <row r="67" spans="1:7" ht="19.5" customHeight="1">
      <c r="A67" s="236" t="s">
        <v>1265</v>
      </c>
      <c r="B67" s="198">
        <v>108466</v>
      </c>
      <c r="C67" s="229">
        <v>0</v>
      </c>
      <c r="D67" s="229">
        <v>0</v>
      </c>
      <c r="E67" s="229">
        <v>0</v>
      </c>
      <c r="F67" s="303">
        <f t="shared" si="0"/>
        <v>0</v>
      </c>
      <c r="G67" s="303"/>
    </row>
  </sheetData>
  <sheetProtection/>
  <mergeCells count="1">
    <mergeCell ref="A2:G2"/>
  </mergeCells>
  <printOptions horizontalCentered="1"/>
  <pageMargins left="0.7480314960629921" right="0.7480314960629921" top="0.4330708661417323" bottom="0.4330708661417323" header="0.31496062992125984" footer="0.2362204724409449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6"/>
  <sheetViews>
    <sheetView zoomScalePageLayoutView="0" workbookViewId="0" topLeftCell="A1">
      <pane xSplit="1" ySplit="12" topLeftCell="B19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96" sqref="A196"/>
    </sheetView>
  </sheetViews>
  <sheetFormatPr defaultColWidth="9.00390625" defaultRowHeight="14.25"/>
  <cols>
    <col min="1" max="1" width="60.375" style="300" customWidth="1"/>
    <col min="2" max="2" width="47.25390625" style="281" customWidth="1"/>
    <col min="3" max="3" width="13.75390625" style="278" customWidth="1"/>
    <col min="4" max="4" width="11.875" style="278" customWidth="1"/>
    <col min="5" max="5" width="13.375" style="278" customWidth="1"/>
    <col min="6" max="6" width="12.25390625" style="278" customWidth="1"/>
    <col min="7" max="7" width="9.625" style="278" bestFit="1" customWidth="1"/>
    <col min="8" max="219" width="9.00390625" style="278" customWidth="1"/>
    <col min="220" max="220" width="46.125" style="278" customWidth="1"/>
    <col min="221" max="221" width="16.75390625" style="278" customWidth="1"/>
    <col min="222" max="223" width="14.75390625" style="278" customWidth="1"/>
    <col min="224" max="224" width="11.375" style="278" customWidth="1"/>
    <col min="225" max="225" width="9.50390625" style="278" bestFit="1" customWidth="1"/>
    <col min="226" max="16384" width="9.00390625" style="278" customWidth="1"/>
  </cols>
  <sheetData>
    <row r="1" ht="12.75">
      <c r="A1" s="280" t="s">
        <v>1297</v>
      </c>
    </row>
    <row r="2" spans="1:7" ht="20.25">
      <c r="A2" s="379" t="s">
        <v>1293</v>
      </c>
      <c r="B2" s="380"/>
      <c r="C2" s="380"/>
      <c r="D2" s="380"/>
      <c r="E2" s="380"/>
      <c r="F2" s="380"/>
      <c r="G2" s="380"/>
    </row>
    <row r="3" spans="1:7" ht="15" customHeight="1">
      <c r="A3" s="282"/>
      <c r="B3" s="282"/>
      <c r="G3" s="283" t="s">
        <v>688</v>
      </c>
    </row>
    <row r="4" spans="1:7" s="284" customFormat="1" ht="19.5" customHeight="1">
      <c r="A4" s="370" t="s">
        <v>518</v>
      </c>
      <c r="B4" s="370" t="s">
        <v>816</v>
      </c>
      <c r="C4" s="372" t="s">
        <v>567</v>
      </c>
      <c r="D4" s="373"/>
      <c r="E4" s="374"/>
      <c r="F4" s="375" t="s">
        <v>1295</v>
      </c>
      <c r="G4" s="377" t="s">
        <v>817</v>
      </c>
    </row>
    <row r="5" spans="1:7" s="284" customFormat="1" ht="19.5" customHeight="1">
      <c r="A5" s="371"/>
      <c r="B5" s="371"/>
      <c r="C5" s="285" t="s">
        <v>603</v>
      </c>
      <c r="D5" s="285" t="s">
        <v>604</v>
      </c>
      <c r="E5" s="285" t="s">
        <v>818</v>
      </c>
      <c r="F5" s="376"/>
      <c r="G5" s="378"/>
    </row>
    <row r="6" spans="1:7" s="284" customFormat="1" ht="19.5" customHeight="1">
      <c r="A6" s="313" t="s">
        <v>90</v>
      </c>
      <c r="B6" s="312"/>
      <c r="C6" s="314">
        <f>SUM(C7,C11,C215)</f>
        <v>153885.98</v>
      </c>
      <c r="D6" s="314">
        <f>SUM(D7,D11,D215)</f>
        <v>107542.76</v>
      </c>
      <c r="E6" s="314">
        <f>SUM(E7,E11,E215)</f>
        <v>98703.54</v>
      </c>
      <c r="F6" s="314">
        <f>SUM(F7,F11,F215)</f>
        <v>55182.44</v>
      </c>
      <c r="G6" s="286">
        <f aca="true" t="shared" si="0" ref="G6:G111">D6/C6*100</f>
        <v>69.88</v>
      </c>
    </row>
    <row r="7" spans="1:7" s="284" customFormat="1" ht="19.5" customHeight="1">
      <c r="A7" s="287" t="s">
        <v>832</v>
      </c>
      <c r="B7" s="288"/>
      <c r="C7" s="289">
        <f>C8+C9+C10</f>
        <v>46103</v>
      </c>
      <c r="D7" s="289">
        <f>D8+D9+D10</f>
        <v>46103</v>
      </c>
      <c r="E7" s="289">
        <f>E8+E9+E10</f>
        <v>46103</v>
      </c>
      <c r="F7" s="286">
        <f>C7-E7</f>
        <v>0</v>
      </c>
      <c r="G7" s="286">
        <f t="shared" si="0"/>
        <v>100</v>
      </c>
    </row>
    <row r="8" spans="1:7" s="284" customFormat="1" ht="19.5" customHeight="1">
      <c r="A8" s="290" t="s">
        <v>833</v>
      </c>
      <c r="B8" s="290"/>
      <c r="C8" s="246">
        <f>11389+575</f>
        <v>11964</v>
      </c>
      <c r="D8" s="246">
        <f>11389+575</f>
        <v>11964</v>
      </c>
      <c r="E8" s="246">
        <f>11389+575</f>
        <v>11964</v>
      </c>
      <c r="F8" s="275">
        <f aca="true" t="shared" si="1" ref="F8:F71">C8-E8</f>
        <v>0</v>
      </c>
      <c r="G8" s="276">
        <f t="shared" si="0"/>
        <v>100</v>
      </c>
    </row>
    <row r="9" spans="1:7" s="284" customFormat="1" ht="19.5" customHeight="1">
      <c r="A9" s="290" t="s">
        <v>834</v>
      </c>
      <c r="B9" s="290"/>
      <c r="C9" s="246">
        <v>6911</v>
      </c>
      <c r="D9" s="246">
        <v>6911</v>
      </c>
      <c r="E9" s="246">
        <v>6911</v>
      </c>
      <c r="F9" s="275">
        <f t="shared" si="1"/>
        <v>0</v>
      </c>
      <c r="G9" s="276">
        <f t="shared" si="0"/>
        <v>100</v>
      </c>
    </row>
    <row r="10" spans="1:7" s="284" customFormat="1" ht="19.5" customHeight="1">
      <c r="A10" s="290" t="s">
        <v>835</v>
      </c>
      <c r="B10" s="290"/>
      <c r="C10" s="246">
        <v>27228</v>
      </c>
      <c r="D10" s="246">
        <v>27228</v>
      </c>
      <c r="E10" s="246">
        <v>27228</v>
      </c>
      <c r="F10" s="275">
        <f t="shared" si="1"/>
        <v>0</v>
      </c>
      <c r="G10" s="276">
        <f t="shared" si="0"/>
        <v>100</v>
      </c>
    </row>
    <row r="11" spans="1:7" s="293" customFormat="1" ht="19.5" customHeight="1">
      <c r="A11" s="287" t="s">
        <v>836</v>
      </c>
      <c r="B11" s="291"/>
      <c r="C11" s="289">
        <f>SUM(C12:C214)</f>
        <v>101715.68</v>
      </c>
      <c r="D11" s="289">
        <f>SUM(D12:D214)</f>
        <v>58769.32</v>
      </c>
      <c r="E11" s="289">
        <f>SUM(E12:E214)</f>
        <v>50080.1</v>
      </c>
      <c r="F11" s="292">
        <f t="shared" si="1"/>
        <v>51635.58</v>
      </c>
      <c r="G11" s="286">
        <f t="shared" si="0"/>
        <v>57.78</v>
      </c>
    </row>
    <row r="12" spans="1:7" s="277" customFormat="1" ht="19.5" customHeight="1">
      <c r="A12" s="315" t="s">
        <v>1305</v>
      </c>
      <c r="B12" s="274" t="s">
        <v>837</v>
      </c>
      <c r="C12" s="246">
        <v>5.3</v>
      </c>
      <c r="D12" s="246">
        <v>5.3</v>
      </c>
      <c r="E12" s="246">
        <v>5.3</v>
      </c>
      <c r="F12" s="275">
        <f t="shared" si="1"/>
        <v>0</v>
      </c>
      <c r="G12" s="276">
        <f t="shared" si="0"/>
        <v>100</v>
      </c>
    </row>
    <row r="13" spans="1:7" s="277" customFormat="1" ht="19.5" customHeight="1">
      <c r="A13" s="315" t="s">
        <v>1306</v>
      </c>
      <c r="B13" s="274" t="s">
        <v>838</v>
      </c>
      <c r="C13" s="246">
        <v>30</v>
      </c>
      <c r="D13" s="246">
        <v>30</v>
      </c>
      <c r="E13" s="246">
        <v>30</v>
      </c>
      <c r="F13" s="275">
        <f t="shared" si="1"/>
        <v>0</v>
      </c>
      <c r="G13" s="276">
        <f t="shared" si="0"/>
        <v>100</v>
      </c>
    </row>
    <row r="14" spans="1:7" s="277" customFormat="1" ht="19.5" customHeight="1">
      <c r="A14" s="315" t="s">
        <v>1307</v>
      </c>
      <c r="B14" s="274" t="s">
        <v>839</v>
      </c>
      <c r="C14" s="246">
        <v>39.5</v>
      </c>
      <c r="D14" s="246">
        <v>39.5</v>
      </c>
      <c r="E14" s="246">
        <v>39.5</v>
      </c>
      <c r="F14" s="275">
        <f t="shared" si="1"/>
        <v>0</v>
      </c>
      <c r="G14" s="276">
        <f t="shared" si="0"/>
        <v>100</v>
      </c>
    </row>
    <row r="15" spans="1:7" s="277" customFormat="1" ht="19.5" customHeight="1">
      <c r="A15" s="315" t="s">
        <v>1308</v>
      </c>
      <c r="B15" s="274" t="s">
        <v>837</v>
      </c>
      <c r="C15" s="246">
        <v>36</v>
      </c>
      <c r="D15" s="246"/>
      <c r="E15" s="246"/>
      <c r="F15" s="275">
        <f t="shared" si="1"/>
        <v>36</v>
      </c>
      <c r="G15" s="276">
        <f t="shared" si="0"/>
        <v>0</v>
      </c>
    </row>
    <row r="16" spans="1:7" s="277" customFormat="1" ht="19.5" customHeight="1">
      <c r="A16" s="315" t="s">
        <v>1309</v>
      </c>
      <c r="B16" s="274" t="s">
        <v>840</v>
      </c>
      <c r="C16" s="246">
        <v>876</v>
      </c>
      <c r="D16" s="246">
        <v>876</v>
      </c>
      <c r="E16" s="246">
        <v>856</v>
      </c>
      <c r="F16" s="275">
        <f t="shared" si="1"/>
        <v>20</v>
      </c>
      <c r="G16" s="276">
        <f t="shared" si="0"/>
        <v>100</v>
      </c>
    </row>
    <row r="17" spans="1:7" s="277" customFormat="1" ht="19.5" customHeight="1">
      <c r="A17" s="315" t="s">
        <v>1310</v>
      </c>
      <c r="B17" s="274" t="s">
        <v>840</v>
      </c>
      <c r="C17" s="246">
        <v>161</v>
      </c>
      <c r="D17" s="246">
        <v>161</v>
      </c>
      <c r="E17" s="246">
        <v>161</v>
      </c>
      <c r="F17" s="275">
        <f t="shared" si="1"/>
        <v>0</v>
      </c>
      <c r="G17" s="276">
        <f t="shared" si="0"/>
        <v>100</v>
      </c>
    </row>
    <row r="18" spans="1:7" s="277" customFormat="1" ht="19.5" customHeight="1">
      <c r="A18" s="315" t="s">
        <v>1311</v>
      </c>
      <c r="B18" s="274" t="s">
        <v>840</v>
      </c>
      <c r="C18" s="246">
        <v>235</v>
      </c>
      <c r="D18" s="246">
        <v>235</v>
      </c>
      <c r="E18" s="246">
        <v>235</v>
      </c>
      <c r="F18" s="275">
        <f t="shared" si="1"/>
        <v>0</v>
      </c>
      <c r="G18" s="276">
        <f t="shared" si="0"/>
        <v>100</v>
      </c>
    </row>
    <row r="19" spans="1:7" s="277" customFormat="1" ht="19.5" customHeight="1">
      <c r="A19" s="315" t="s">
        <v>1309</v>
      </c>
      <c r="B19" s="274" t="s">
        <v>841</v>
      </c>
      <c r="C19" s="246">
        <v>821.96</v>
      </c>
      <c r="D19" s="246">
        <v>821.96</v>
      </c>
      <c r="E19" s="246">
        <v>813.02</v>
      </c>
      <c r="F19" s="275">
        <f t="shared" si="1"/>
        <v>8.94</v>
      </c>
      <c r="G19" s="276">
        <f t="shared" si="0"/>
        <v>100</v>
      </c>
    </row>
    <row r="20" spans="1:7" s="277" customFormat="1" ht="19.5" customHeight="1">
      <c r="A20" s="315" t="s">
        <v>1312</v>
      </c>
      <c r="B20" s="274" t="s">
        <v>841</v>
      </c>
      <c r="C20" s="246">
        <v>0.3</v>
      </c>
      <c r="D20" s="246">
        <v>0.3</v>
      </c>
      <c r="E20" s="246">
        <v>0</v>
      </c>
      <c r="F20" s="275">
        <f t="shared" si="1"/>
        <v>0.3</v>
      </c>
      <c r="G20" s="276">
        <f t="shared" si="0"/>
        <v>100</v>
      </c>
    </row>
    <row r="21" spans="1:7" s="277" customFormat="1" ht="19.5" customHeight="1">
      <c r="A21" s="315" t="s">
        <v>1313</v>
      </c>
      <c r="B21" s="274" t="s">
        <v>841</v>
      </c>
      <c r="C21" s="246">
        <v>405</v>
      </c>
      <c r="D21" s="246">
        <v>405</v>
      </c>
      <c r="E21" s="246">
        <v>405</v>
      </c>
      <c r="F21" s="275">
        <f t="shared" si="1"/>
        <v>0</v>
      </c>
      <c r="G21" s="276">
        <f t="shared" si="0"/>
        <v>100</v>
      </c>
    </row>
    <row r="22" spans="1:7" s="277" customFormat="1" ht="19.5" customHeight="1">
      <c r="A22" s="315" t="s">
        <v>1309</v>
      </c>
      <c r="B22" s="274" t="s">
        <v>842</v>
      </c>
      <c r="C22" s="246">
        <v>906.82</v>
      </c>
      <c r="D22" s="246">
        <v>906.82</v>
      </c>
      <c r="E22" s="246">
        <v>772.14</v>
      </c>
      <c r="F22" s="275">
        <f t="shared" si="1"/>
        <v>134.68</v>
      </c>
      <c r="G22" s="276">
        <f t="shared" si="0"/>
        <v>100</v>
      </c>
    </row>
    <row r="23" spans="1:7" s="277" customFormat="1" ht="19.5" customHeight="1">
      <c r="A23" s="315" t="s">
        <v>1312</v>
      </c>
      <c r="B23" s="274" t="s">
        <v>842</v>
      </c>
      <c r="C23" s="246">
        <v>0.5</v>
      </c>
      <c r="D23" s="246">
        <v>0.5</v>
      </c>
      <c r="E23" s="246">
        <v>0</v>
      </c>
      <c r="F23" s="275">
        <f t="shared" si="1"/>
        <v>0.5</v>
      </c>
      <c r="G23" s="276">
        <f t="shared" si="0"/>
        <v>100</v>
      </c>
    </row>
    <row r="24" spans="1:7" s="277" customFormat="1" ht="19.5" customHeight="1">
      <c r="A24" s="315" t="s">
        <v>1309</v>
      </c>
      <c r="B24" s="274" t="s">
        <v>843</v>
      </c>
      <c r="C24" s="246">
        <v>539.22</v>
      </c>
      <c r="D24" s="246">
        <v>539.22</v>
      </c>
      <c r="E24" s="246">
        <v>507.27</v>
      </c>
      <c r="F24" s="275">
        <f t="shared" si="1"/>
        <v>31.95</v>
      </c>
      <c r="G24" s="276">
        <f t="shared" si="0"/>
        <v>100</v>
      </c>
    </row>
    <row r="25" spans="1:7" s="277" customFormat="1" ht="19.5" customHeight="1">
      <c r="A25" s="315" t="s">
        <v>1314</v>
      </c>
      <c r="B25" s="274" t="s">
        <v>843</v>
      </c>
      <c r="C25" s="246">
        <v>80</v>
      </c>
      <c r="D25" s="246">
        <v>80</v>
      </c>
      <c r="E25" s="246">
        <v>80</v>
      </c>
      <c r="F25" s="275">
        <f t="shared" si="1"/>
        <v>0</v>
      </c>
      <c r="G25" s="276">
        <f t="shared" si="0"/>
        <v>100</v>
      </c>
    </row>
    <row r="26" spans="1:7" s="277" customFormat="1" ht="19.5" customHeight="1">
      <c r="A26" s="315" t="s">
        <v>1315</v>
      </c>
      <c r="B26" s="274" t="s">
        <v>843</v>
      </c>
      <c r="C26" s="246">
        <v>827.5</v>
      </c>
      <c r="D26" s="246">
        <v>827.5</v>
      </c>
      <c r="E26" s="246">
        <v>827.5</v>
      </c>
      <c r="F26" s="275">
        <f t="shared" si="1"/>
        <v>0</v>
      </c>
      <c r="G26" s="276">
        <f t="shared" si="0"/>
        <v>100</v>
      </c>
    </row>
    <row r="27" spans="1:7" s="277" customFormat="1" ht="19.5" customHeight="1">
      <c r="A27" s="315" t="s">
        <v>1316</v>
      </c>
      <c r="B27" s="274" t="s">
        <v>843</v>
      </c>
      <c r="C27" s="246">
        <v>100</v>
      </c>
      <c r="D27" s="246">
        <v>0</v>
      </c>
      <c r="E27" s="246">
        <v>0</v>
      </c>
      <c r="F27" s="275">
        <f t="shared" si="1"/>
        <v>100</v>
      </c>
      <c r="G27" s="276">
        <f t="shared" si="0"/>
        <v>0</v>
      </c>
    </row>
    <row r="28" spans="1:7" s="277" customFormat="1" ht="19.5" customHeight="1">
      <c r="A28" s="315" t="s">
        <v>1317</v>
      </c>
      <c r="B28" s="85" t="s">
        <v>1074</v>
      </c>
      <c r="C28" s="246">
        <v>9.25</v>
      </c>
      <c r="D28" s="246">
        <v>0</v>
      </c>
      <c r="E28" s="246">
        <v>0</v>
      </c>
      <c r="F28" s="275">
        <f t="shared" si="1"/>
        <v>9.25</v>
      </c>
      <c r="G28" s="276">
        <f t="shared" si="0"/>
        <v>0</v>
      </c>
    </row>
    <row r="29" spans="1:7" s="277" customFormat="1" ht="19.5" customHeight="1">
      <c r="A29" s="315" t="s">
        <v>1318</v>
      </c>
      <c r="B29" s="274" t="s">
        <v>844</v>
      </c>
      <c r="C29" s="246">
        <v>1077</v>
      </c>
      <c r="D29" s="246">
        <v>0</v>
      </c>
      <c r="E29" s="246">
        <v>0</v>
      </c>
      <c r="F29" s="275">
        <f t="shared" si="1"/>
        <v>1077</v>
      </c>
      <c r="G29" s="276">
        <f t="shared" si="0"/>
        <v>0</v>
      </c>
    </row>
    <row r="30" spans="1:7" s="277" customFormat="1" ht="19.5" customHeight="1">
      <c r="A30" s="315" t="s">
        <v>1309</v>
      </c>
      <c r="B30" s="274" t="s">
        <v>845</v>
      </c>
      <c r="C30" s="246">
        <v>449.5</v>
      </c>
      <c r="D30" s="246">
        <v>449.5</v>
      </c>
      <c r="E30" s="246">
        <v>449.5</v>
      </c>
      <c r="F30" s="275">
        <f t="shared" si="1"/>
        <v>0</v>
      </c>
      <c r="G30" s="276">
        <f t="shared" si="0"/>
        <v>100</v>
      </c>
    </row>
    <row r="31" spans="1:7" s="277" customFormat="1" ht="19.5" customHeight="1">
      <c r="A31" s="315" t="s">
        <v>1319</v>
      </c>
      <c r="B31" s="274" t="s">
        <v>845</v>
      </c>
      <c r="C31" s="246">
        <v>288.6</v>
      </c>
      <c r="D31" s="246"/>
      <c r="E31" s="246"/>
      <c r="F31" s="275">
        <f t="shared" si="1"/>
        <v>288.6</v>
      </c>
      <c r="G31" s="276">
        <f t="shared" si="0"/>
        <v>0</v>
      </c>
    </row>
    <row r="32" spans="1:7" s="277" customFormat="1" ht="19.5" customHeight="1">
      <c r="A32" s="315" t="s">
        <v>1320</v>
      </c>
      <c r="B32" s="274" t="s">
        <v>845</v>
      </c>
      <c r="C32" s="246">
        <v>29</v>
      </c>
      <c r="D32" s="246"/>
      <c r="E32" s="246"/>
      <c r="F32" s="275">
        <f t="shared" si="1"/>
        <v>29</v>
      </c>
      <c r="G32" s="276">
        <f t="shared" si="0"/>
        <v>0</v>
      </c>
    </row>
    <row r="33" spans="1:7" s="277" customFormat="1" ht="19.5" customHeight="1">
      <c r="A33" s="315" t="s">
        <v>1309</v>
      </c>
      <c r="B33" s="274" t="s">
        <v>846</v>
      </c>
      <c r="C33" s="246">
        <v>610</v>
      </c>
      <c r="D33" s="246">
        <v>610</v>
      </c>
      <c r="E33" s="246">
        <v>594.9</v>
      </c>
      <c r="F33" s="275">
        <f t="shared" si="1"/>
        <v>15.1</v>
      </c>
      <c r="G33" s="276">
        <f t="shared" si="0"/>
        <v>100</v>
      </c>
    </row>
    <row r="34" spans="1:7" s="277" customFormat="1" ht="19.5" customHeight="1">
      <c r="A34" s="315" t="s">
        <v>1321</v>
      </c>
      <c r="B34" s="274" t="s">
        <v>847</v>
      </c>
      <c r="C34" s="246">
        <v>300</v>
      </c>
      <c r="D34" s="246">
        <v>300</v>
      </c>
      <c r="E34" s="246">
        <v>300</v>
      </c>
      <c r="F34" s="275">
        <f t="shared" si="1"/>
        <v>0</v>
      </c>
      <c r="G34" s="276">
        <f t="shared" si="0"/>
        <v>100</v>
      </c>
    </row>
    <row r="35" spans="1:7" s="277" customFormat="1" ht="19.5" customHeight="1">
      <c r="A35" s="315" t="s">
        <v>1318</v>
      </c>
      <c r="B35" s="274" t="s">
        <v>848</v>
      </c>
      <c r="C35" s="246">
        <v>2309</v>
      </c>
      <c r="D35" s="246">
        <v>0</v>
      </c>
      <c r="E35" s="246">
        <v>0</v>
      </c>
      <c r="F35" s="275">
        <f t="shared" si="1"/>
        <v>2309</v>
      </c>
      <c r="G35" s="276">
        <f t="shared" si="0"/>
        <v>0</v>
      </c>
    </row>
    <row r="36" spans="1:7" s="277" customFormat="1" ht="19.5" customHeight="1">
      <c r="A36" s="315" t="s">
        <v>1316</v>
      </c>
      <c r="B36" s="274" t="s">
        <v>848</v>
      </c>
      <c r="C36" s="246">
        <v>400</v>
      </c>
      <c r="D36" s="246"/>
      <c r="E36" s="246"/>
      <c r="F36" s="275">
        <f t="shared" si="1"/>
        <v>400</v>
      </c>
      <c r="G36" s="276">
        <f t="shared" si="0"/>
        <v>0</v>
      </c>
    </row>
    <row r="37" spans="1:7" s="277" customFormat="1" ht="19.5" customHeight="1">
      <c r="A37" s="315" t="s">
        <v>1322</v>
      </c>
      <c r="B37" s="202" t="s">
        <v>1075</v>
      </c>
      <c r="C37" s="246">
        <v>723</v>
      </c>
      <c r="D37" s="246"/>
      <c r="E37" s="246"/>
      <c r="F37" s="275">
        <f t="shared" si="1"/>
        <v>723</v>
      </c>
      <c r="G37" s="276">
        <f t="shared" si="0"/>
        <v>0</v>
      </c>
    </row>
    <row r="38" spans="1:7" s="277" customFormat="1" ht="19.5" customHeight="1">
      <c r="A38" s="315" t="s">
        <v>1323</v>
      </c>
      <c r="B38" s="85" t="s">
        <v>1076</v>
      </c>
      <c r="C38" s="239">
        <v>481</v>
      </c>
      <c r="D38" s="239">
        <v>481</v>
      </c>
      <c r="E38" s="246">
        <v>364</v>
      </c>
      <c r="F38" s="275">
        <f t="shared" si="1"/>
        <v>117</v>
      </c>
      <c r="G38" s="276">
        <f t="shared" si="0"/>
        <v>100</v>
      </c>
    </row>
    <row r="39" spans="1:7" s="277" customFormat="1" ht="19.5" customHeight="1">
      <c r="A39" s="315" t="s">
        <v>1324</v>
      </c>
      <c r="B39" s="85" t="s">
        <v>1076</v>
      </c>
      <c r="C39" s="239">
        <v>80</v>
      </c>
      <c r="D39" s="246"/>
      <c r="E39" s="246"/>
      <c r="F39" s="275">
        <f t="shared" si="1"/>
        <v>80</v>
      </c>
      <c r="G39" s="276">
        <f t="shared" si="0"/>
        <v>0</v>
      </c>
    </row>
    <row r="40" spans="1:7" s="277" customFormat="1" ht="19.5" customHeight="1">
      <c r="A40" s="315" t="s">
        <v>1325</v>
      </c>
      <c r="B40" s="85" t="s">
        <v>1076</v>
      </c>
      <c r="C40" s="239">
        <v>10</v>
      </c>
      <c r="D40" s="246"/>
      <c r="E40" s="246"/>
      <c r="F40" s="275">
        <f t="shared" si="1"/>
        <v>10</v>
      </c>
      <c r="G40" s="276">
        <f t="shared" si="0"/>
        <v>0</v>
      </c>
    </row>
    <row r="41" spans="1:7" s="277" customFormat="1" ht="19.5" customHeight="1">
      <c r="A41" s="315" t="s">
        <v>1326</v>
      </c>
      <c r="B41" s="274" t="s">
        <v>849</v>
      </c>
      <c r="C41" s="246">
        <v>270</v>
      </c>
      <c r="D41" s="246">
        <v>270</v>
      </c>
      <c r="E41" s="246">
        <v>90</v>
      </c>
      <c r="F41" s="275">
        <f t="shared" si="1"/>
        <v>180</v>
      </c>
      <c r="G41" s="276">
        <f t="shared" si="0"/>
        <v>100</v>
      </c>
    </row>
    <row r="42" spans="1:7" s="277" customFormat="1" ht="19.5" customHeight="1">
      <c r="A42" s="315" t="s">
        <v>1327</v>
      </c>
      <c r="B42" s="274" t="s">
        <v>849</v>
      </c>
      <c r="C42" s="246">
        <v>830</v>
      </c>
      <c r="D42" s="246">
        <v>830</v>
      </c>
      <c r="E42" s="276">
        <v>810</v>
      </c>
      <c r="F42" s="275">
        <f t="shared" si="1"/>
        <v>20</v>
      </c>
      <c r="G42" s="276">
        <f t="shared" si="0"/>
        <v>100</v>
      </c>
    </row>
    <row r="43" spans="1:7" s="277" customFormat="1" ht="19.5" customHeight="1">
      <c r="A43" s="315" t="s">
        <v>1328</v>
      </c>
      <c r="B43" s="274" t="s">
        <v>849</v>
      </c>
      <c r="C43" s="246">
        <v>50</v>
      </c>
      <c r="D43" s="246">
        <v>50</v>
      </c>
      <c r="E43" s="246">
        <v>50</v>
      </c>
      <c r="F43" s="275">
        <f t="shared" si="1"/>
        <v>0</v>
      </c>
      <c r="G43" s="276">
        <f t="shared" si="0"/>
        <v>100</v>
      </c>
    </row>
    <row r="44" spans="1:7" s="277" customFormat="1" ht="19.5" customHeight="1">
      <c r="A44" s="315" t="s">
        <v>1329</v>
      </c>
      <c r="B44" s="274" t="s">
        <v>849</v>
      </c>
      <c r="C44" s="246">
        <v>70</v>
      </c>
      <c r="D44" s="246">
        <v>70</v>
      </c>
      <c r="E44" s="246">
        <v>70</v>
      </c>
      <c r="F44" s="275">
        <f t="shared" si="1"/>
        <v>0</v>
      </c>
      <c r="G44" s="276">
        <f t="shared" si="0"/>
        <v>100</v>
      </c>
    </row>
    <row r="45" spans="1:7" s="277" customFormat="1" ht="19.5" customHeight="1">
      <c r="A45" s="315" t="s">
        <v>1330</v>
      </c>
      <c r="B45" s="274" t="s">
        <v>849</v>
      </c>
      <c r="C45" s="246">
        <v>100</v>
      </c>
      <c r="D45" s="246">
        <v>100</v>
      </c>
      <c r="E45" s="246">
        <v>100</v>
      </c>
      <c r="F45" s="275">
        <f t="shared" si="1"/>
        <v>0</v>
      </c>
      <c r="G45" s="276">
        <f t="shared" si="0"/>
        <v>100</v>
      </c>
    </row>
    <row r="46" spans="1:7" s="277" customFormat="1" ht="19.5" customHeight="1">
      <c r="A46" s="315" t="s">
        <v>1331</v>
      </c>
      <c r="B46" s="274" t="s">
        <v>849</v>
      </c>
      <c r="C46" s="246">
        <v>74.16</v>
      </c>
      <c r="D46" s="246">
        <v>74.16</v>
      </c>
      <c r="E46" s="246">
        <v>74.16</v>
      </c>
      <c r="F46" s="275">
        <f t="shared" si="1"/>
        <v>0</v>
      </c>
      <c r="G46" s="276">
        <f t="shared" si="0"/>
        <v>100</v>
      </c>
    </row>
    <row r="47" spans="1:7" s="277" customFormat="1" ht="19.5" customHeight="1">
      <c r="A47" s="315" t="s">
        <v>1332</v>
      </c>
      <c r="B47" s="274" t="s">
        <v>849</v>
      </c>
      <c r="C47" s="246">
        <v>815</v>
      </c>
      <c r="D47" s="246">
        <v>815</v>
      </c>
      <c r="E47" s="246">
        <v>800</v>
      </c>
      <c r="F47" s="275">
        <f t="shared" si="1"/>
        <v>15</v>
      </c>
      <c r="G47" s="276">
        <f t="shared" si="0"/>
        <v>100</v>
      </c>
    </row>
    <row r="48" spans="1:7" s="277" customFormat="1" ht="19.5" customHeight="1">
      <c r="A48" s="315" t="s">
        <v>1333</v>
      </c>
      <c r="B48" s="274" t="s">
        <v>849</v>
      </c>
      <c r="C48" s="246">
        <v>42.8</v>
      </c>
      <c r="D48" s="246">
        <v>42.8</v>
      </c>
      <c r="E48" s="246">
        <v>42.8</v>
      </c>
      <c r="F48" s="275">
        <f t="shared" si="1"/>
        <v>0</v>
      </c>
      <c r="G48" s="276">
        <f t="shared" si="0"/>
        <v>100</v>
      </c>
    </row>
    <row r="49" spans="1:7" s="277" customFormat="1" ht="19.5" customHeight="1">
      <c r="A49" s="315" t="s">
        <v>1334</v>
      </c>
      <c r="B49" s="274" t="s">
        <v>849</v>
      </c>
      <c r="C49" s="246">
        <v>670.1</v>
      </c>
      <c r="D49" s="246">
        <v>670.1</v>
      </c>
      <c r="E49" s="246">
        <v>640.1</v>
      </c>
      <c r="F49" s="275">
        <f t="shared" si="1"/>
        <v>30</v>
      </c>
      <c r="G49" s="276">
        <f t="shared" si="0"/>
        <v>100</v>
      </c>
    </row>
    <row r="50" spans="1:7" s="277" customFormat="1" ht="19.5" customHeight="1">
      <c r="A50" s="315" t="s">
        <v>1335</v>
      </c>
      <c r="B50" s="274" t="s">
        <v>849</v>
      </c>
      <c r="C50" s="246">
        <v>197.71</v>
      </c>
      <c r="D50" s="246">
        <v>197.71</v>
      </c>
      <c r="E50" s="246">
        <v>197.71</v>
      </c>
      <c r="F50" s="275">
        <f t="shared" si="1"/>
        <v>0</v>
      </c>
      <c r="G50" s="276">
        <f t="shared" si="0"/>
        <v>100</v>
      </c>
    </row>
    <row r="51" spans="1:7" s="277" customFormat="1" ht="19.5" customHeight="1">
      <c r="A51" s="315" t="s">
        <v>1336</v>
      </c>
      <c r="B51" s="274" t="s">
        <v>849</v>
      </c>
      <c r="C51" s="246">
        <v>60</v>
      </c>
      <c r="D51" s="246">
        <v>60</v>
      </c>
      <c r="E51" s="246">
        <v>60</v>
      </c>
      <c r="F51" s="275">
        <f t="shared" si="1"/>
        <v>0</v>
      </c>
      <c r="G51" s="276">
        <f t="shared" si="0"/>
        <v>100</v>
      </c>
    </row>
    <row r="52" spans="1:7" s="277" customFormat="1" ht="19.5" customHeight="1">
      <c r="A52" s="315" t="s">
        <v>1337</v>
      </c>
      <c r="B52" s="274" t="s">
        <v>849</v>
      </c>
      <c r="C52" s="246">
        <v>65</v>
      </c>
      <c r="D52" s="246"/>
      <c r="E52" s="246"/>
      <c r="F52" s="275">
        <f t="shared" si="1"/>
        <v>65</v>
      </c>
      <c r="G52" s="276">
        <f t="shared" si="0"/>
        <v>0</v>
      </c>
    </row>
    <row r="53" spans="1:7" s="277" customFormat="1" ht="19.5" customHeight="1">
      <c r="A53" s="315" t="s">
        <v>1338</v>
      </c>
      <c r="B53" s="274" t="s">
        <v>849</v>
      </c>
      <c r="C53" s="246">
        <v>252</v>
      </c>
      <c r="D53" s="246"/>
      <c r="E53" s="246"/>
      <c r="F53" s="275">
        <f t="shared" si="1"/>
        <v>252</v>
      </c>
      <c r="G53" s="276">
        <f t="shared" si="0"/>
        <v>0</v>
      </c>
    </row>
    <row r="54" spans="1:7" s="277" customFormat="1" ht="19.5" customHeight="1">
      <c r="A54" s="315" t="s">
        <v>1339</v>
      </c>
      <c r="B54" s="274" t="s">
        <v>849</v>
      </c>
      <c r="C54" s="246">
        <v>100</v>
      </c>
      <c r="D54" s="246"/>
      <c r="E54" s="246"/>
      <c r="F54" s="275">
        <f t="shared" si="1"/>
        <v>100</v>
      </c>
      <c r="G54" s="276">
        <f t="shared" si="0"/>
        <v>0</v>
      </c>
    </row>
    <row r="55" spans="1:7" s="277" customFormat="1" ht="19.5" customHeight="1">
      <c r="A55" s="315" t="s">
        <v>1340</v>
      </c>
      <c r="B55" s="274" t="s">
        <v>849</v>
      </c>
      <c r="C55" s="246">
        <v>54.3</v>
      </c>
      <c r="D55" s="246"/>
      <c r="E55" s="246"/>
      <c r="F55" s="275">
        <f t="shared" si="1"/>
        <v>54.3</v>
      </c>
      <c r="G55" s="276">
        <f t="shared" si="0"/>
        <v>0</v>
      </c>
    </row>
    <row r="56" spans="1:7" s="277" customFormat="1" ht="19.5" customHeight="1">
      <c r="A56" s="315" t="s">
        <v>1341</v>
      </c>
      <c r="B56" s="274" t="s">
        <v>849</v>
      </c>
      <c r="C56" s="246">
        <v>135</v>
      </c>
      <c r="D56" s="246"/>
      <c r="E56" s="246"/>
      <c r="F56" s="275">
        <f t="shared" si="1"/>
        <v>135</v>
      </c>
      <c r="G56" s="276">
        <f t="shared" si="0"/>
        <v>0</v>
      </c>
    </row>
    <row r="57" spans="1:7" s="277" customFormat="1" ht="19.5" customHeight="1">
      <c r="A57" s="315" t="s">
        <v>1342</v>
      </c>
      <c r="B57" s="274" t="s">
        <v>849</v>
      </c>
      <c r="C57" s="246">
        <v>40</v>
      </c>
      <c r="D57" s="246"/>
      <c r="E57" s="246"/>
      <c r="F57" s="275">
        <f t="shared" si="1"/>
        <v>40</v>
      </c>
      <c r="G57" s="276">
        <f t="shared" si="0"/>
        <v>0</v>
      </c>
    </row>
    <row r="58" spans="1:7" s="277" customFormat="1" ht="19.5" customHeight="1">
      <c r="A58" s="315" t="s">
        <v>1343</v>
      </c>
      <c r="B58" s="274" t="s">
        <v>849</v>
      </c>
      <c r="C58" s="246">
        <v>200</v>
      </c>
      <c r="D58" s="246"/>
      <c r="E58" s="246"/>
      <c r="F58" s="275">
        <f t="shared" si="1"/>
        <v>200</v>
      </c>
      <c r="G58" s="276">
        <f t="shared" si="0"/>
        <v>0</v>
      </c>
    </row>
    <row r="59" spans="1:7" s="277" customFormat="1" ht="19.5" customHeight="1">
      <c r="A59" s="315" t="s">
        <v>1344</v>
      </c>
      <c r="B59" s="274" t="s">
        <v>849</v>
      </c>
      <c r="C59" s="246">
        <v>210</v>
      </c>
      <c r="D59" s="246"/>
      <c r="E59" s="246"/>
      <c r="F59" s="275">
        <f t="shared" si="1"/>
        <v>210</v>
      </c>
      <c r="G59" s="276">
        <f t="shared" si="0"/>
        <v>0</v>
      </c>
    </row>
    <row r="60" spans="1:7" s="277" customFormat="1" ht="19.5" customHeight="1">
      <c r="A60" s="315" t="s">
        <v>1345</v>
      </c>
      <c r="B60" s="274" t="s">
        <v>849</v>
      </c>
      <c r="C60" s="246">
        <v>190</v>
      </c>
      <c r="D60" s="246"/>
      <c r="E60" s="246"/>
      <c r="F60" s="275">
        <f t="shared" si="1"/>
        <v>190</v>
      </c>
      <c r="G60" s="276">
        <f t="shared" si="0"/>
        <v>0</v>
      </c>
    </row>
    <row r="61" spans="1:7" s="277" customFormat="1" ht="19.5" customHeight="1">
      <c r="A61" s="315" t="s">
        <v>1346</v>
      </c>
      <c r="B61" s="274" t="s">
        <v>849</v>
      </c>
      <c r="C61" s="246">
        <v>5</v>
      </c>
      <c r="D61" s="246"/>
      <c r="E61" s="246"/>
      <c r="F61" s="275">
        <f t="shared" si="1"/>
        <v>5</v>
      </c>
      <c r="G61" s="276">
        <f t="shared" si="0"/>
        <v>0</v>
      </c>
    </row>
    <row r="62" spans="1:7" s="277" customFormat="1" ht="19.5" customHeight="1">
      <c r="A62" s="315" t="s">
        <v>1347</v>
      </c>
      <c r="B62" s="274" t="s">
        <v>850</v>
      </c>
      <c r="C62" s="246">
        <v>50</v>
      </c>
      <c r="D62" s="246">
        <v>50</v>
      </c>
      <c r="E62" s="246">
        <v>50</v>
      </c>
      <c r="F62" s="275">
        <f t="shared" si="1"/>
        <v>0</v>
      </c>
      <c r="G62" s="276">
        <f t="shared" si="0"/>
        <v>100</v>
      </c>
    </row>
    <row r="63" spans="1:7" s="277" customFormat="1" ht="19.5" customHeight="1">
      <c r="A63" s="315" t="s">
        <v>1348</v>
      </c>
      <c r="B63" s="274" t="s">
        <v>850</v>
      </c>
      <c r="C63" s="246">
        <v>49</v>
      </c>
      <c r="D63" s="246">
        <v>49</v>
      </c>
      <c r="E63" s="246">
        <v>49</v>
      </c>
      <c r="F63" s="275">
        <f t="shared" si="1"/>
        <v>0</v>
      </c>
      <c r="G63" s="276">
        <f t="shared" si="0"/>
        <v>100</v>
      </c>
    </row>
    <row r="64" spans="1:7" s="277" customFormat="1" ht="19.5" customHeight="1">
      <c r="A64" s="315" t="s">
        <v>1349</v>
      </c>
      <c r="B64" s="274" t="s">
        <v>850</v>
      </c>
      <c r="C64" s="246">
        <v>50</v>
      </c>
      <c r="D64" s="246">
        <v>50</v>
      </c>
      <c r="E64" s="246">
        <v>50</v>
      </c>
      <c r="F64" s="275">
        <f t="shared" si="1"/>
        <v>0</v>
      </c>
      <c r="G64" s="276">
        <f t="shared" si="0"/>
        <v>100</v>
      </c>
    </row>
    <row r="65" spans="1:7" s="277" customFormat="1" ht="19.5" customHeight="1">
      <c r="A65" s="315" t="s">
        <v>1350</v>
      </c>
      <c r="B65" s="274" t="s">
        <v>850</v>
      </c>
      <c r="C65" s="246">
        <v>56.71</v>
      </c>
      <c r="D65" s="246"/>
      <c r="E65" s="246"/>
      <c r="F65" s="275">
        <f t="shared" si="1"/>
        <v>56.71</v>
      </c>
      <c r="G65" s="276">
        <f t="shared" si="0"/>
        <v>0</v>
      </c>
    </row>
    <row r="66" spans="1:7" s="277" customFormat="1" ht="19.5" customHeight="1">
      <c r="A66" s="315" t="s">
        <v>1351</v>
      </c>
      <c r="B66" s="85" t="s">
        <v>1077</v>
      </c>
      <c r="C66" s="246">
        <v>60</v>
      </c>
      <c r="D66" s="246"/>
      <c r="E66" s="246"/>
      <c r="F66" s="275">
        <f t="shared" si="1"/>
        <v>60</v>
      </c>
      <c r="G66" s="276">
        <f t="shared" si="0"/>
        <v>0</v>
      </c>
    </row>
    <row r="67" spans="1:7" s="277" customFormat="1" ht="19.5" customHeight="1">
      <c r="A67" s="315" t="s">
        <v>1352</v>
      </c>
      <c r="B67" s="85" t="s">
        <v>1077</v>
      </c>
      <c r="C67" s="246">
        <v>120</v>
      </c>
      <c r="D67" s="246"/>
      <c r="E67" s="246"/>
      <c r="F67" s="275">
        <f t="shared" si="1"/>
        <v>120</v>
      </c>
      <c r="G67" s="276">
        <f t="shared" si="0"/>
        <v>0</v>
      </c>
    </row>
    <row r="68" spans="1:7" s="277" customFormat="1" ht="19.5" customHeight="1">
      <c r="A68" s="315" t="s">
        <v>1353</v>
      </c>
      <c r="B68" s="85" t="s">
        <v>1077</v>
      </c>
      <c r="C68" s="246">
        <v>135</v>
      </c>
      <c r="D68" s="246"/>
      <c r="E68" s="246"/>
      <c r="F68" s="275">
        <f t="shared" si="1"/>
        <v>135</v>
      </c>
      <c r="G68" s="276">
        <f t="shared" si="0"/>
        <v>0</v>
      </c>
    </row>
    <row r="69" spans="1:7" s="277" customFormat="1" ht="19.5" customHeight="1">
      <c r="A69" s="315" t="s">
        <v>1354</v>
      </c>
      <c r="B69" s="274" t="s">
        <v>851</v>
      </c>
      <c r="C69" s="246">
        <v>60</v>
      </c>
      <c r="D69" s="246">
        <v>60</v>
      </c>
      <c r="E69" s="246">
        <v>60</v>
      </c>
      <c r="F69" s="275">
        <f t="shared" si="1"/>
        <v>0</v>
      </c>
      <c r="G69" s="276">
        <f t="shared" si="0"/>
        <v>100</v>
      </c>
    </row>
    <row r="70" spans="1:7" ht="15">
      <c r="A70" s="315" t="s">
        <v>1355</v>
      </c>
      <c r="B70" s="274" t="s">
        <v>1271</v>
      </c>
      <c r="C70" s="246">
        <v>-4</v>
      </c>
      <c r="D70" s="246">
        <v>-4</v>
      </c>
      <c r="E70" s="246">
        <v>-4</v>
      </c>
      <c r="F70" s="275">
        <f t="shared" si="1"/>
        <v>0</v>
      </c>
      <c r="G70" s="276">
        <f>D70/C70*100</f>
        <v>100</v>
      </c>
    </row>
    <row r="71" spans="1:7" s="277" customFormat="1" ht="19.5" customHeight="1">
      <c r="A71" s="315" t="s">
        <v>1356</v>
      </c>
      <c r="B71" s="274" t="s">
        <v>852</v>
      </c>
      <c r="C71" s="246">
        <v>100</v>
      </c>
      <c r="D71" s="276">
        <v>100</v>
      </c>
      <c r="E71" s="276">
        <v>100</v>
      </c>
      <c r="F71" s="275">
        <f t="shared" si="1"/>
        <v>0</v>
      </c>
      <c r="G71" s="276">
        <f t="shared" si="0"/>
        <v>100</v>
      </c>
    </row>
    <row r="72" spans="1:7" s="277" customFormat="1" ht="19.5" customHeight="1">
      <c r="A72" s="315" t="s">
        <v>1309</v>
      </c>
      <c r="B72" s="274" t="s">
        <v>853</v>
      </c>
      <c r="C72" s="246">
        <v>295</v>
      </c>
      <c r="D72" s="246">
        <v>295</v>
      </c>
      <c r="E72" s="246">
        <v>45.4</v>
      </c>
      <c r="F72" s="275">
        <f aca="true" t="shared" si="2" ref="F72:F135">C72-E72</f>
        <v>249.6</v>
      </c>
      <c r="G72" s="276">
        <f t="shared" si="0"/>
        <v>100</v>
      </c>
    </row>
    <row r="73" spans="1:7" s="277" customFormat="1" ht="19.5" customHeight="1">
      <c r="A73" s="315" t="s">
        <v>1357</v>
      </c>
      <c r="B73" s="274" t="s">
        <v>853</v>
      </c>
      <c r="C73" s="246">
        <v>4</v>
      </c>
      <c r="D73" s="246">
        <v>4</v>
      </c>
      <c r="E73" s="246">
        <v>0</v>
      </c>
      <c r="F73" s="275">
        <f t="shared" si="2"/>
        <v>4</v>
      </c>
      <c r="G73" s="276">
        <f t="shared" si="0"/>
        <v>100</v>
      </c>
    </row>
    <row r="74" spans="1:7" s="277" customFormat="1" ht="19.5" customHeight="1">
      <c r="A74" s="315" t="s">
        <v>1358</v>
      </c>
      <c r="B74" s="274" t="s">
        <v>854</v>
      </c>
      <c r="C74" s="246">
        <v>116.5</v>
      </c>
      <c r="D74" s="246">
        <v>116.5</v>
      </c>
      <c r="E74" s="246">
        <v>116.5</v>
      </c>
      <c r="F74" s="275">
        <f t="shared" si="2"/>
        <v>0</v>
      </c>
      <c r="G74" s="276">
        <f t="shared" si="0"/>
        <v>100</v>
      </c>
    </row>
    <row r="75" spans="1:7" s="277" customFormat="1" ht="19.5" customHeight="1">
      <c r="A75" s="315" t="s">
        <v>1359</v>
      </c>
      <c r="B75" s="274" t="s">
        <v>854</v>
      </c>
      <c r="C75" s="246">
        <v>300</v>
      </c>
      <c r="D75" s="246">
        <v>300</v>
      </c>
      <c r="E75" s="246">
        <v>0</v>
      </c>
      <c r="F75" s="275">
        <f t="shared" si="2"/>
        <v>300</v>
      </c>
      <c r="G75" s="276">
        <f t="shared" si="0"/>
        <v>100</v>
      </c>
    </row>
    <row r="76" spans="1:7" s="277" customFormat="1" ht="19.5" customHeight="1">
      <c r="A76" s="315" t="s">
        <v>1360</v>
      </c>
      <c r="B76" s="274" t="s">
        <v>854</v>
      </c>
      <c r="C76" s="246">
        <v>300</v>
      </c>
      <c r="D76" s="246">
        <v>300</v>
      </c>
      <c r="E76" s="246">
        <v>0</v>
      </c>
      <c r="F76" s="275">
        <f t="shared" si="2"/>
        <v>300</v>
      </c>
      <c r="G76" s="276">
        <f t="shared" si="0"/>
        <v>100</v>
      </c>
    </row>
    <row r="77" spans="1:7" s="277" customFormat="1" ht="19.5" customHeight="1">
      <c r="A77" s="315" t="s">
        <v>1361</v>
      </c>
      <c r="B77" s="274" t="s">
        <v>855</v>
      </c>
      <c r="C77" s="246">
        <v>39.69</v>
      </c>
      <c r="D77" s="246">
        <v>39.69</v>
      </c>
      <c r="E77" s="246">
        <v>39.69</v>
      </c>
      <c r="F77" s="275">
        <f t="shared" si="2"/>
        <v>0</v>
      </c>
      <c r="G77" s="276">
        <f t="shared" si="0"/>
        <v>100</v>
      </c>
    </row>
    <row r="78" spans="1:7" s="277" customFormat="1" ht="19.5" customHeight="1">
      <c r="A78" s="315" t="s">
        <v>1362</v>
      </c>
      <c r="B78" s="274" t="s">
        <v>856</v>
      </c>
      <c r="C78" s="246">
        <v>82</v>
      </c>
      <c r="D78" s="246">
        <v>0</v>
      </c>
      <c r="E78" s="246">
        <v>0</v>
      </c>
      <c r="F78" s="275">
        <f t="shared" si="2"/>
        <v>82</v>
      </c>
      <c r="G78" s="276">
        <f t="shared" si="0"/>
        <v>0</v>
      </c>
    </row>
    <row r="79" spans="1:7" s="277" customFormat="1" ht="19.5" customHeight="1">
      <c r="A79" s="315" t="s">
        <v>1363</v>
      </c>
      <c r="B79" s="274" t="s">
        <v>857</v>
      </c>
      <c r="C79" s="246">
        <v>635.2</v>
      </c>
      <c r="D79" s="246">
        <v>504.65</v>
      </c>
      <c r="E79" s="246">
        <v>504.65</v>
      </c>
      <c r="F79" s="275">
        <f t="shared" si="2"/>
        <v>130.55</v>
      </c>
      <c r="G79" s="276">
        <f t="shared" si="0"/>
        <v>79.45</v>
      </c>
    </row>
    <row r="80" spans="1:7" s="277" customFormat="1" ht="19.5" customHeight="1">
      <c r="A80" s="315" t="s">
        <v>1364</v>
      </c>
      <c r="B80" s="274" t="s">
        <v>857</v>
      </c>
      <c r="C80" s="246">
        <v>313</v>
      </c>
      <c r="D80" s="246">
        <v>313</v>
      </c>
      <c r="E80" s="246">
        <v>313</v>
      </c>
      <c r="F80" s="275">
        <f t="shared" si="2"/>
        <v>0</v>
      </c>
      <c r="G80" s="276">
        <f t="shared" si="0"/>
        <v>100</v>
      </c>
    </row>
    <row r="81" spans="1:7" s="277" customFormat="1" ht="19.5" customHeight="1">
      <c r="A81" s="315" t="s">
        <v>1365</v>
      </c>
      <c r="B81" s="274" t="s">
        <v>857</v>
      </c>
      <c r="C81" s="246">
        <v>0.7</v>
      </c>
      <c r="D81" s="246">
        <v>0.7</v>
      </c>
      <c r="E81" s="246">
        <v>0.7</v>
      </c>
      <c r="F81" s="275">
        <f t="shared" si="2"/>
        <v>0</v>
      </c>
      <c r="G81" s="276">
        <f t="shared" si="0"/>
        <v>100</v>
      </c>
    </row>
    <row r="82" spans="1:7" s="277" customFormat="1" ht="19.5" customHeight="1">
      <c r="A82" s="315" t="s">
        <v>1366</v>
      </c>
      <c r="B82" s="274" t="s">
        <v>857</v>
      </c>
      <c r="C82" s="246">
        <v>233.4</v>
      </c>
      <c r="D82" s="246"/>
      <c r="E82" s="246"/>
      <c r="F82" s="275">
        <f t="shared" si="2"/>
        <v>233.4</v>
      </c>
      <c r="G82" s="276">
        <f t="shared" si="0"/>
        <v>0</v>
      </c>
    </row>
    <row r="83" spans="1:7" s="277" customFormat="1" ht="19.5" customHeight="1">
      <c r="A83" s="315" t="s">
        <v>1364</v>
      </c>
      <c r="B83" s="274" t="s">
        <v>858</v>
      </c>
      <c r="C83" s="246">
        <v>23.8</v>
      </c>
      <c r="D83" s="246">
        <v>23.8</v>
      </c>
      <c r="E83" s="246">
        <v>2.9</v>
      </c>
      <c r="F83" s="275">
        <f t="shared" si="2"/>
        <v>20.9</v>
      </c>
      <c r="G83" s="276">
        <f t="shared" si="0"/>
        <v>100</v>
      </c>
    </row>
    <row r="84" spans="1:7" s="277" customFormat="1" ht="19.5" customHeight="1">
      <c r="A84" s="315" t="s">
        <v>1367</v>
      </c>
      <c r="B84" s="274" t="s">
        <v>858</v>
      </c>
      <c r="C84" s="246">
        <v>15.8</v>
      </c>
      <c r="D84" s="246">
        <v>15.8</v>
      </c>
      <c r="E84" s="246">
        <v>15.8</v>
      </c>
      <c r="F84" s="275">
        <f t="shared" si="2"/>
        <v>0</v>
      </c>
      <c r="G84" s="276">
        <f t="shared" si="0"/>
        <v>100</v>
      </c>
    </row>
    <row r="85" spans="1:7" s="277" customFormat="1" ht="19.5" customHeight="1">
      <c r="A85" s="315" t="s">
        <v>1368</v>
      </c>
      <c r="B85" s="274" t="s">
        <v>858</v>
      </c>
      <c r="C85" s="246">
        <v>4.7</v>
      </c>
      <c r="D85" s="246">
        <v>4.7</v>
      </c>
      <c r="E85" s="246">
        <v>4.7</v>
      </c>
      <c r="F85" s="275">
        <f t="shared" si="2"/>
        <v>0</v>
      </c>
      <c r="G85" s="276">
        <f t="shared" si="0"/>
        <v>100</v>
      </c>
    </row>
    <row r="86" spans="1:7" s="277" customFormat="1" ht="19.5" customHeight="1">
      <c r="A86" s="315" t="s">
        <v>1369</v>
      </c>
      <c r="B86" s="274" t="s">
        <v>859</v>
      </c>
      <c r="C86" s="246">
        <v>297</v>
      </c>
      <c r="D86" s="246">
        <v>0</v>
      </c>
      <c r="E86" s="246">
        <v>0</v>
      </c>
      <c r="F86" s="275">
        <f t="shared" si="2"/>
        <v>297</v>
      </c>
      <c r="G86" s="276">
        <f t="shared" si="0"/>
        <v>0</v>
      </c>
    </row>
    <row r="87" spans="1:7" s="277" customFormat="1" ht="19.5" customHeight="1">
      <c r="A87" s="315" t="s">
        <v>1362</v>
      </c>
      <c r="B87" s="274" t="s">
        <v>860</v>
      </c>
      <c r="C87" s="246">
        <v>4367</v>
      </c>
      <c r="D87" s="246">
        <v>4367</v>
      </c>
      <c r="E87" s="246">
        <v>4305.26</v>
      </c>
      <c r="F87" s="275">
        <f t="shared" si="2"/>
        <v>61.74</v>
      </c>
      <c r="G87" s="276">
        <f t="shared" si="0"/>
        <v>100</v>
      </c>
    </row>
    <row r="88" spans="1:7" s="277" customFormat="1" ht="19.5" customHeight="1">
      <c r="A88" s="315" t="s">
        <v>1370</v>
      </c>
      <c r="B88" s="274" t="s">
        <v>860</v>
      </c>
      <c r="C88" s="246">
        <v>1091</v>
      </c>
      <c r="D88" s="246">
        <v>408</v>
      </c>
      <c r="E88" s="246">
        <v>408</v>
      </c>
      <c r="F88" s="275">
        <f t="shared" si="2"/>
        <v>683</v>
      </c>
      <c r="G88" s="276">
        <f t="shared" si="0"/>
        <v>37.4</v>
      </c>
    </row>
    <row r="89" spans="1:7" s="277" customFormat="1" ht="19.5" customHeight="1">
      <c r="A89" s="315" t="s">
        <v>1371</v>
      </c>
      <c r="B89" s="274" t="s">
        <v>860</v>
      </c>
      <c r="C89" s="246">
        <v>1008</v>
      </c>
      <c r="D89" s="246"/>
      <c r="E89" s="246"/>
      <c r="F89" s="275">
        <f t="shared" si="2"/>
        <v>1008</v>
      </c>
      <c r="G89" s="276">
        <f t="shared" si="0"/>
        <v>0</v>
      </c>
    </row>
    <row r="90" spans="1:7" s="277" customFormat="1" ht="19.5" customHeight="1">
      <c r="A90" s="315" t="s">
        <v>1363</v>
      </c>
      <c r="B90" s="274" t="s">
        <v>861</v>
      </c>
      <c r="C90" s="246">
        <v>1117.1</v>
      </c>
      <c r="D90" s="246">
        <v>125.46</v>
      </c>
      <c r="E90" s="246">
        <v>125.46</v>
      </c>
      <c r="F90" s="275">
        <f t="shared" si="2"/>
        <v>991.64</v>
      </c>
      <c r="G90" s="276">
        <f t="shared" si="0"/>
        <v>11.23</v>
      </c>
    </row>
    <row r="91" spans="1:7" s="277" customFormat="1" ht="19.5" customHeight="1">
      <c r="A91" s="315" t="s">
        <v>1372</v>
      </c>
      <c r="B91" s="274" t="s">
        <v>861</v>
      </c>
      <c r="C91" s="246">
        <v>325.2</v>
      </c>
      <c r="D91" s="246">
        <v>0</v>
      </c>
      <c r="E91" s="246">
        <v>0</v>
      </c>
      <c r="F91" s="275">
        <f t="shared" si="2"/>
        <v>325.2</v>
      </c>
      <c r="G91" s="276">
        <f t="shared" si="0"/>
        <v>0</v>
      </c>
    </row>
    <row r="92" spans="1:7" s="277" customFormat="1" ht="19.5" customHeight="1">
      <c r="A92" s="315" t="s">
        <v>1373</v>
      </c>
      <c r="B92" s="274" t="s">
        <v>861</v>
      </c>
      <c r="C92" s="246">
        <v>22.1</v>
      </c>
      <c r="D92" s="246"/>
      <c r="E92" s="246"/>
      <c r="F92" s="275">
        <f t="shared" si="2"/>
        <v>22.1</v>
      </c>
      <c r="G92" s="276">
        <f t="shared" si="0"/>
        <v>0</v>
      </c>
    </row>
    <row r="93" spans="1:7" s="277" customFormat="1" ht="19.5" customHeight="1">
      <c r="A93" s="315" t="s">
        <v>1374</v>
      </c>
      <c r="B93" s="274" t="s">
        <v>862</v>
      </c>
      <c r="C93" s="246">
        <v>440</v>
      </c>
      <c r="D93" s="246">
        <v>440</v>
      </c>
      <c r="E93" s="246">
        <v>411.45</v>
      </c>
      <c r="F93" s="275">
        <f t="shared" si="2"/>
        <v>28.55</v>
      </c>
      <c r="G93" s="276">
        <f t="shared" si="0"/>
        <v>100</v>
      </c>
    </row>
    <row r="94" spans="1:7" s="277" customFormat="1" ht="19.5" customHeight="1">
      <c r="A94" s="315" t="s">
        <v>1363</v>
      </c>
      <c r="B94" s="274" t="s">
        <v>863</v>
      </c>
      <c r="C94" s="246">
        <v>634.9</v>
      </c>
      <c r="D94" s="246">
        <v>617.48</v>
      </c>
      <c r="E94" s="246">
        <v>617.48</v>
      </c>
      <c r="F94" s="275">
        <f t="shared" si="2"/>
        <v>17.42</v>
      </c>
      <c r="G94" s="276">
        <f t="shared" si="0"/>
        <v>97.26</v>
      </c>
    </row>
    <row r="95" spans="1:7" s="277" customFormat="1" ht="19.5" customHeight="1">
      <c r="A95" s="315" t="s">
        <v>1375</v>
      </c>
      <c r="B95" s="274" t="s">
        <v>863</v>
      </c>
      <c r="C95" s="246">
        <v>69.5</v>
      </c>
      <c r="D95" s="246"/>
      <c r="E95" s="246"/>
      <c r="F95" s="275">
        <f t="shared" si="2"/>
        <v>69.5</v>
      </c>
      <c r="G95" s="276">
        <f t="shared" si="0"/>
        <v>0</v>
      </c>
    </row>
    <row r="96" spans="1:7" s="277" customFormat="1" ht="19.5" customHeight="1">
      <c r="A96" s="315" t="s">
        <v>1376</v>
      </c>
      <c r="B96" s="274" t="s">
        <v>864</v>
      </c>
      <c r="C96" s="246">
        <v>248</v>
      </c>
      <c r="D96" s="246">
        <v>248</v>
      </c>
      <c r="E96" s="246">
        <v>248</v>
      </c>
      <c r="F96" s="275">
        <f t="shared" si="2"/>
        <v>0</v>
      </c>
      <c r="G96" s="276">
        <f t="shared" si="0"/>
        <v>100</v>
      </c>
    </row>
    <row r="97" spans="1:7" s="277" customFormat="1" ht="19.5" customHeight="1">
      <c r="A97" s="315" t="s">
        <v>1377</v>
      </c>
      <c r="B97" s="274" t="s">
        <v>864</v>
      </c>
      <c r="C97" s="246">
        <v>291.6</v>
      </c>
      <c r="D97" s="246">
        <v>291.6</v>
      </c>
      <c r="E97" s="246">
        <v>291.6</v>
      </c>
      <c r="F97" s="275">
        <f t="shared" si="2"/>
        <v>0</v>
      </c>
      <c r="G97" s="276">
        <f t="shared" si="0"/>
        <v>100</v>
      </c>
    </row>
    <row r="98" spans="1:7" s="277" customFormat="1" ht="19.5" customHeight="1">
      <c r="A98" s="315" t="s">
        <v>1363</v>
      </c>
      <c r="B98" s="274" t="s">
        <v>865</v>
      </c>
      <c r="C98" s="246">
        <v>8.1</v>
      </c>
      <c r="D98" s="246">
        <v>8.1</v>
      </c>
      <c r="E98" s="246">
        <v>8.1</v>
      </c>
      <c r="F98" s="275">
        <f t="shared" si="2"/>
        <v>0</v>
      </c>
      <c r="G98" s="276">
        <f t="shared" si="0"/>
        <v>100</v>
      </c>
    </row>
    <row r="99" spans="1:7" s="277" customFormat="1" ht="19.5" customHeight="1">
      <c r="A99" s="315" t="s">
        <v>1377</v>
      </c>
      <c r="B99" s="274" t="s">
        <v>865</v>
      </c>
      <c r="C99" s="246">
        <v>11.6</v>
      </c>
      <c r="D99" s="246">
        <v>11.6</v>
      </c>
      <c r="E99" s="246">
        <v>11.6</v>
      </c>
      <c r="F99" s="275">
        <f t="shared" si="2"/>
        <v>0</v>
      </c>
      <c r="G99" s="276">
        <f t="shared" si="0"/>
        <v>100</v>
      </c>
    </row>
    <row r="100" spans="1:7" s="277" customFormat="1" ht="19.5" customHeight="1">
      <c r="A100" s="315" t="s">
        <v>1378</v>
      </c>
      <c r="B100" s="85" t="s">
        <v>1078</v>
      </c>
      <c r="C100" s="246">
        <v>16.9</v>
      </c>
      <c r="D100" s="246"/>
      <c r="E100" s="246"/>
      <c r="F100" s="275">
        <f t="shared" si="2"/>
        <v>16.9</v>
      </c>
      <c r="G100" s="276">
        <f t="shared" si="0"/>
        <v>0</v>
      </c>
    </row>
    <row r="101" spans="1:7" s="277" customFormat="1" ht="19.5" customHeight="1">
      <c r="A101" s="315" t="s">
        <v>1363</v>
      </c>
      <c r="B101" s="274" t="s">
        <v>866</v>
      </c>
      <c r="C101" s="246">
        <v>2.2</v>
      </c>
      <c r="D101" s="246">
        <v>0</v>
      </c>
      <c r="E101" s="246">
        <v>0</v>
      </c>
      <c r="F101" s="275">
        <f t="shared" si="2"/>
        <v>2.2</v>
      </c>
      <c r="G101" s="276">
        <f t="shared" si="0"/>
        <v>0</v>
      </c>
    </row>
    <row r="102" spans="1:7" s="277" customFormat="1" ht="19.5" customHeight="1">
      <c r="A102" s="315" t="s">
        <v>1364</v>
      </c>
      <c r="B102" s="274" t="s">
        <v>867</v>
      </c>
      <c r="C102" s="246">
        <v>1.9</v>
      </c>
      <c r="D102" s="246">
        <v>1.9</v>
      </c>
      <c r="E102" s="246">
        <v>1.9</v>
      </c>
      <c r="F102" s="275">
        <f t="shared" si="2"/>
        <v>0</v>
      </c>
      <c r="G102" s="276">
        <f t="shared" si="0"/>
        <v>100</v>
      </c>
    </row>
    <row r="103" spans="1:7" ht="15">
      <c r="A103" s="315" t="s">
        <v>1379</v>
      </c>
      <c r="B103" s="274" t="s">
        <v>1272</v>
      </c>
      <c r="C103" s="246">
        <v>-216.41</v>
      </c>
      <c r="D103" s="246">
        <v>-216.41</v>
      </c>
      <c r="E103" s="246">
        <v>-216.41</v>
      </c>
      <c r="F103" s="275">
        <f t="shared" si="2"/>
        <v>0</v>
      </c>
      <c r="G103" s="276">
        <f>D103/C103*100</f>
        <v>100</v>
      </c>
    </row>
    <row r="104" spans="1:7" s="277" customFormat="1" ht="19.5" customHeight="1">
      <c r="A104" s="315" t="s">
        <v>1363</v>
      </c>
      <c r="B104" s="274" t="s">
        <v>868</v>
      </c>
      <c r="C104" s="246">
        <v>329.8</v>
      </c>
      <c r="D104" s="246">
        <v>0</v>
      </c>
      <c r="E104" s="246">
        <v>0</v>
      </c>
      <c r="F104" s="275">
        <f t="shared" si="2"/>
        <v>329.8</v>
      </c>
      <c r="G104" s="276">
        <f t="shared" si="0"/>
        <v>0</v>
      </c>
    </row>
    <row r="105" spans="1:7" s="277" customFormat="1" ht="19.5" customHeight="1">
      <c r="A105" s="315" t="s">
        <v>1364</v>
      </c>
      <c r="B105" s="274" t="s">
        <v>869</v>
      </c>
      <c r="C105" s="246">
        <v>491.3</v>
      </c>
      <c r="D105" s="246">
        <v>326</v>
      </c>
      <c r="E105" s="246">
        <v>326</v>
      </c>
      <c r="F105" s="275">
        <f t="shared" si="2"/>
        <v>165.3</v>
      </c>
      <c r="G105" s="276">
        <f t="shared" si="0"/>
        <v>66.35</v>
      </c>
    </row>
    <row r="106" spans="1:7" s="277" customFormat="1" ht="19.5" customHeight="1">
      <c r="A106" s="315" t="s">
        <v>1362</v>
      </c>
      <c r="B106" s="274" t="s">
        <v>869</v>
      </c>
      <c r="C106" s="246">
        <v>31.5</v>
      </c>
      <c r="D106" s="246">
        <v>31.5</v>
      </c>
      <c r="E106" s="240">
        <v>28.02</v>
      </c>
      <c r="F106" s="275">
        <f t="shared" si="2"/>
        <v>3.48</v>
      </c>
      <c r="G106" s="276">
        <f t="shared" si="0"/>
        <v>100</v>
      </c>
    </row>
    <row r="107" spans="1:7" s="277" customFormat="1" ht="19.5" customHeight="1">
      <c r="A107" s="315" t="s">
        <v>1380</v>
      </c>
      <c r="B107" s="274" t="s">
        <v>869</v>
      </c>
      <c r="C107" s="246">
        <v>111</v>
      </c>
      <c r="D107" s="246">
        <v>111</v>
      </c>
      <c r="E107" s="246">
        <v>111</v>
      </c>
      <c r="F107" s="275">
        <f t="shared" si="2"/>
        <v>0</v>
      </c>
      <c r="G107" s="276">
        <f t="shared" si="0"/>
        <v>100</v>
      </c>
    </row>
    <row r="108" spans="1:7" s="277" customFormat="1" ht="19.5" customHeight="1">
      <c r="A108" s="315" t="s">
        <v>1381</v>
      </c>
      <c r="B108" s="274" t="s">
        <v>869</v>
      </c>
      <c r="C108" s="246">
        <v>118.8</v>
      </c>
      <c r="D108" s="246">
        <v>0</v>
      </c>
      <c r="E108" s="246">
        <v>0</v>
      </c>
      <c r="F108" s="275">
        <f t="shared" si="2"/>
        <v>118.8</v>
      </c>
      <c r="G108" s="276">
        <f t="shared" si="0"/>
        <v>0</v>
      </c>
    </row>
    <row r="109" spans="1:7" s="277" customFormat="1" ht="19.5" customHeight="1">
      <c r="A109" s="315" t="s">
        <v>1382</v>
      </c>
      <c r="B109" s="274" t="s">
        <v>869</v>
      </c>
      <c r="C109" s="246">
        <v>22.6</v>
      </c>
      <c r="D109" s="246"/>
      <c r="E109" s="246"/>
      <c r="F109" s="275">
        <f t="shared" si="2"/>
        <v>22.6</v>
      </c>
      <c r="G109" s="276">
        <f t="shared" si="0"/>
        <v>0</v>
      </c>
    </row>
    <row r="110" spans="1:7" s="277" customFormat="1" ht="19.5" customHeight="1">
      <c r="A110" s="315" t="s">
        <v>1383</v>
      </c>
      <c r="B110" s="274" t="s">
        <v>869</v>
      </c>
      <c r="C110" s="246">
        <v>26.7</v>
      </c>
      <c r="D110" s="246"/>
      <c r="E110" s="246"/>
      <c r="F110" s="275">
        <f t="shared" si="2"/>
        <v>26.7</v>
      </c>
      <c r="G110" s="276">
        <f t="shared" si="0"/>
        <v>0</v>
      </c>
    </row>
    <row r="111" spans="1:7" s="277" customFormat="1" ht="19.5" customHeight="1">
      <c r="A111" s="315" t="s">
        <v>1363</v>
      </c>
      <c r="B111" s="274" t="s">
        <v>870</v>
      </c>
      <c r="C111" s="246">
        <v>523.9</v>
      </c>
      <c r="D111" s="246">
        <v>67.2</v>
      </c>
      <c r="E111" s="241">
        <v>64.2</v>
      </c>
      <c r="F111" s="275">
        <f t="shared" si="2"/>
        <v>459.7</v>
      </c>
      <c r="G111" s="276">
        <f t="shared" si="0"/>
        <v>12.83</v>
      </c>
    </row>
    <row r="112" spans="1:7" s="277" customFormat="1" ht="19.5" customHeight="1">
      <c r="A112" s="315" t="s">
        <v>1363</v>
      </c>
      <c r="B112" s="274" t="s">
        <v>871</v>
      </c>
      <c r="C112" s="246">
        <v>5062.22</v>
      </c>
      <c r="D112" s="246">
        <v>431.33</v>
      </c>
      <c r="E112" s="246">
        <v>431.33</v>
      </c>
      <c r="F112" s="275">
        <f t="shared" si="2"/>
        <v>4630.89</v>
      </c>
      <c r="G112" s="276">
        <f aca="true" t="shared" si="3" ref="G112:G183">D112/C112*100</f>
        <v>8.52</v>
      </c>
    </row>
    <row r="113" spans="1:7" s="277" customFormat="1" ht="19.5" customHeight="1">
      <c r="A113" s="315" t="s">
        <v>1384</v>
      </c>
      <c r="B113" s="274" t="s">
        <v>871</v>
      </c>
      <c r="C113" s="246">
        <v>534.5</v>
      </c>
      <c r="D113" s="246">
        <v>0</v>
      </c>
      <c r="E113" s="246">
        <v>0</v>
      </c>
      <c r="F113" s="275">
        <f t="shared" si="2"/>
        <v>534.5</v>
      </c>
      <c r="G113" s="276">
        <f t="shared" si="3"/>
        <v>0</v>
      </c>
    </row>
    <row r="114" spans="1:7" s="277" customFormat="1" ht="19.5" customHeight="1">
      <c r="A114" s="315" t="s">
        <v>1374</v>
      </c>
      <c r="B114" s="274" t="s">
        <v>872</v>
      </c>
      <c r="C114" s="246">
        <v>1065.89</v>
      </c>
      <c r="D114" s="246">
        <v>1058.57</v>
      </c>
      <c r="E114" s="246">
        <v>1058.57</v>
      </c>
      <c r="F114" s="275">
        <f t="shared" si="2"/>
        <v>7.32</v>
      </c>
      <c r="G114" s="276">
        <f t="shared" si="3"/>
        <v>99.31</v>
      </c>
    </row>
    <row r="115" spans="1:7" s="277" customFormat="1" ht="19.5" customHeight="1">
      <c r="A115" s="315" t="s">
        <v>1374</v>
      </c>
      <c r="B115" s="274" t="s">
        <v>873</v>
      </c>
      <c r="C115" s="246">
        <v>4.29</v>
      </c>
      <c r="D115" s="246">
        <v>4.29</v>
      </c>
      <c r="E115" s="246">
        <v>0</v>
      </c>
      <c r="F115" s="275">
        <f t="shared" si="2"/>
        <v>4.29</v>
      </c>
      <c r="G115" s="276">
        <f t="shared" si="3"/>
        <v>100</v>
      </c>
    </row>
    <row r="116" spans="1:7" s="277" customFormat="1" ht="19.5" customHeight="1">
      <c r="A116" s="315" t="s">
        <v>1363</v>
      </c>
      <c r="B116" s="274" t="s">
        <v>874</v>
      </c>
      <c r="C116" s="246">
        <v>172.5</v>
      </c>
      <c r="D116" s="246">
        <v>172.5</v>
      </c>
      <c r="E116" s="246">
        <v>172.5</v>
      </c>
      <c r="F116" s="275">
        <f t="shared" si="2"/>
        <v>0</v>
      </c>
      <c r="G116" s="276">
        <f t="shared" si="3"/>
        <v>100</v>
      </c>
    </row>
    <row r="117" spans="1:7" s="277" customFormat="1" ht="19.5" customHeight="1">
      <c r="A117" s="315" t="s">
        <v>1363</v>
      </c>
      <c r="B117" s="274" t="s">
        <v>875</v>
      </c>
      <c r="C117" s="246">
        <v>4295</v>
      </c>
      <c r="D117" s="246">
        <v>4295</v>
      </c>
      <c r="E117" s="246">
        <v>4295</v>
      </c>
      <c r="F117" s="275">
        <f t="shared" si="2"/>
        <v>0</v>
      </c>
      <c r="G117" s="276">
        <f t="shared" si="3"/>
        <v>100</v>
      </c>
    </row>
    <row r="118" spans="1:7" s="277" customFormat="1" ht="19.5" customHeight="1">
      <c r="A118" s="315" t="s">
        <v>1385</v>
      </c>
      <c r="B118" s="274" t="s">
        <v>875</v>
      </c>
      <c r="C118" s="246">
        <v>329.3</v>
      </c>
      <c r="D118" s="246">
        <v>329.3</v>
      </c>
      <c r="E118" s="246">
        <v>329.3</v>
      </c>
      <c r="F118" s="275">
        <f t="shared" si="2"/>
        <v>0</v>
      </c>
      <c r="G118" s="276">
        <f t="shared" si="3"/>
        <v>100</v>
      </c>
    </row>
    <row r="119" spans="1:7" s="277" customFormat="1" ht="19.5" customHeight="1">
      <c r="A119" s="315" t="s">
        <v>1371</v>
      </c>
      <c r="B119" s="274" t="s">
        <v>875</v>
      </c>
      <c r="C119" s="246">
        <v>83</v>
      </c>
      <c r="D119" s="246">
        <v>83</v>
      </c>
      <c r="E119" s="246">
        <v>83</v>
      </c>
      <c r="F119" s="275">
        <f t="shared" si="2"/>
        <v>0</v>
      </c>
      <c r="G119" s="276">
        <f t="shared" si="3"/>
        <v>100</v>
      </c>
    </row>
    <row r="120" spans="1:7" s="277" customFormat="1" ht="19.5" customHeight="1">
      <c r="A120" s="315" t="s">
        <v>1386</v>
      </c>
      <c r="B120" s="274" t="s">
        <v>876</v>
      </c>
      <c r="C120" s="246">
        <v>93.2</v>
      </c>
      <c r="D120" s="246">
        <v>20</v>
      </c>
      <c r="E120" s="242">
        <v>9.3</v>
      </c>
      <c r="F120" s="275">
        <f t="shared" si="2"/>
        <v>83.9</v>
      </c>
      <c r="G120" s="276">
        <f t="shared" si="3"/>
        <v>21.46</v>
      </c>
    </row>
    <row r="121" spans="1:7" s="277" customFormat="1" ht="19.5" customHeight="1">
      <c r="A121" s="315" t="s">
        <v>1387</v>
      </c>
      <c r="B121" s="274" t="s">
        <v>877</v>
      </c>
      <c r="C121" s="246">
        <v>100</v>
      </c>
      <c r="D121" s="246">
        <v>100</v>
      </c>
      <c r="E121" s="246">
        <v>0</v>
      </c>
      <c r="F121" s="275">
        <f t="shared" si="2"/>
        <v>100</v>
      </c>
      <c r="G121" s="276">
        <f t="shared" si="3"/>
        <v>100</v>
      </c>
    </row>
    <row r="122" spans="1:7" s="277" customFormat="1" ht="19.5" customHeight="1">
      <c r="A122" s="315" t="s">
        <v>1362</v>
      </c>
      <c r="B122" s="274" t="s">
        <v>877</v>
      </c>
      <c r="C122" s="246">
        <v>84.1</v>
      </c>
      <c r="D122" s="246">
        <v>84.1</v>
      </c>
      <c r="E122" s="246">
        <v>75</v>
      </c>
      <c r="F122" s="275">
        <f t="shared" si="2"/>
        <v>9.1</v>
      </c>
      <c r="G122" s="276">
        <f t="shared" si="3"/>
        <v>100</v>
      </c>
    </row>
    <row r="123" spans="1:7" s="277" customFormat="1" ht="19.5" customHeight="1">
      <c r="A123" s="315" t="s">
        <v>1388</v>
      </c>
      <c r="B123" s="274" t="s">
        <v>877</v>
      </c>
      <c r="C123" s="246">
        <v>40</v>
      </c>
      <c r="D123" s="246">
        <v>40</v>
      </c>
      <c r="E123" s="246">
        <v>0</v>
      </c>
      <c r="F123" s="275">
        <f t="shared" si="2"/>
        <v>40</v>
      </c>
      <c r="G123" s="276">
        <f t="shared" si="3"/>
        <v>100</v>
      </c>
    </row>
    <row r="124" spans="1:7" s="277" customFormat="1" ht="19.5" customHeight="1">
      <c r="A124" s="315" t="s">
        <v>1389</v>
      </c>
      <c r="B124" s="274" t="s">
        <v>877</v>
      </c>
      <c r="C124" s="246">
        <v>41</v>
      </c>
      <c r="D124" s="246">
        <v>41</v>
      </c>
      <c r="E124" s="246">
        <v>41</v>
      </c>
      <c r="F124" s="275">
        <f t="shared" si="2"/>
        <v>0</v>
      </c>
      <c r="G124" s="276">
        <f t="shared" si="3"/>
        <v>100</v>
      </c>
    </row>
    <row r="125" spans="1:7" s="277" customFormat="1" ht="19.5" customHeight="1">
      <c r="A125" s="315" t="s">
        <v>1390</v>
      </c>
      <c r="B125" s="274" t="s">
        <v>878</v>
      </c>
      <c r="C125" s="246">
        <v>570</v>
      </c>
      <c r="D125" s="246">
        <v>570</v>
      </c>
      <c r="E125" s="246">
        <v>570</v>
      </c>
      <c r="F125" s="275">
        <f t="shared" si="2"/>
        <v>0</v>
      </c>
      <c r="G125" s="276">
        <f t="shared" si="3"/>
        <v>100</v>
      </c>
    </row>
    <row r="126" spans="1:7" s="277" customFormat="1" ht="19.5" customHeight="1">
      <c r="A126" s="315" t="s">
        <v>1391</v>
      </c>
      <c r="B126" s="274" t="s">
        <v>879</v>
      </c>
      <c r="C126" s="246">
        <v>45</v>
      </c>
      <c r="D126" s="246">
        <v>45</v>
      </c>
      <c r="E126" s="246">
        <v>0</v>
      </c>
      <c r="F126" s="275">
        <f t="shared" si="2"/>
        <v>45</v>
      </c>
      <c r="G126" s="276">
        <f t="shared" si="3"/>
        <v>100</v>
      </c>
    </row>
    <row r="127" spans="1:7" s="277" customFormat="1" ht="19.5" customHeight="1">
      <c r="A127" s="315" t="s">
        <v>1363</v>
      </c>
      <c r="B127" s="274" t="s">
        <v>880</v>
      </c>
      <c r="C127" s="246">
        <v>1319</v>
      </c>
      <c r="D127" s="246">
        <v>1319</v>
      </c>
      <c r="E127" s="246">
        <v>1319</v>
      </c>
      <c r="F127" s="275">
        <f t="shared" si="2"/>
        <v>0</v>
      </c>
      <c r="G127" s="276">
        <f t="shared" si="3"/>
        <v>100</v>
      </c>
    </row>
    <row r="128" spans="1:7" s="277" customFormat="1" ht="19.5" customHeight="1">
      <c r="A128" s="315" t="s">
        <v>1392</v>
      </c>
      <c r="B128" s="274" t="s">
        <v>880</v>
      </c>
      <c r="C128" s="246">
        <v>35</v>
      </c>
      <c r="D128" s="246">
        <v>35</v>
      </c>
      <c r="E128" s="246">
        <v>35</v>
      </c>
      <c r="F128" s="275">
        <f t="shared" si="2"/>
        <v>0</v>
      </c>
      <c r="G128" s="276">
        <f t="shared" si="3"/>
        <v>100</v>
      </c>
    </row>
    <row r="129" spans="1:7" s="277" customFormat="1" ht="19.5" customHeight="1">
      <c r="A129" s="315" t="s">
        <v>1391</v>
      </c>
      <c r="B129" s="274" t="s">
        <v>880</v>
      </c>
      <c r="C129" s="246">
        <v>18</v>
      </c>
      <c r="D129" s="246">
        <v>18</v>
      </c>
      <c r="E129" s="246">
        <v>18</v>
      </c>
      <c r="F129" s="275">
        <f t="shared" si="2"/>
        <v>0</v>
      </c>
      <c r="G129" s="276">
        <f t="shared" si="3"/>
        <v>100</v>
      </c>
    </row>
    <row r="130" spans="1:7" s="277" customFormat="1" ht="19.5" customHeight="1">
      <c r="A130" s="315" t="s">
        <v>1393</v>
      </c>
      <c r="B130" s="274" t="s">
        <v>880</v>
      </c>
      <c r="C130" s="246">
        <v>364</v>
      </c>
      <c r="D130" s="246">
        <v>364</v>
      </c>
      <c r="E130" s="246">
        <v>364</v>
      </c>
      <c r="F130" s="275">
        <f t="shared" si="2"/>
        <v>0</v>
      </c>
      <c r="G130" s="276">
        <f t="shared" si="3"/>
        <v>100</v>
      </c>
    </row>
    <row r="131" spans="1:7" ht="15">
      <c r="A131" s="315" t="s">
        <v>1394</v>
      </c>
      <c r="B131" s="274" t="s">
        <v>1277</v>
      </c>
      <c r="C131" s="246">
        <v>-88</v>
      </c>
      <c r="D131" s="246">
        <v>-88</v>
      </c>
      <c r="E131" s="246">
        <v>-88</v>
      </c>
      <c r="F131" s="275">
        <f t="shared" si="2"/>
        <v>0</v>
      </c>
      <c r="G131" s="276">
        <f>D131/C131*100</f>
        <v>100</v>
      </c>
    </row>
    <row r="132" spans="1:7" s="277" customFormat="1" ht="19.5" customHeight="1">
      <c r="A132" s="315" t="s">
        <v>1362</v>
      </c>
      <c r="B132" s="274" t="s">
        <v>881</v>
      </c>
      <c r="C132" s="246">
        <v>35</v>
      </c>
      <c r="D132" s="246">
        <v>35</v>
      </c>
      <c r="E132" s="246">
        <v>25</v>
      </c>
      <c r="F132" s="275">
        <f t="shared" si="2"/>
        <v>10</v>
      </c>
      <c r="G132" s="276">
        <f t="shared" si="3"/>
        <v>100</v>
      </c>
    </row>
    <row r="133" spans="1:7" s="277" customFormat="1" ht="19.5" customHeight="1">
      <c r="A133" s="315" t="s">
        <v>1395</v>
      </c>
      <c r="B133" s="274" t="s">
        <v>881</v>
      </c>
      <c r="C133" s="246">
        <v>40</v>
      </c>
      <c r="D133" s="246">
        <v>40</v>
      </c>
      <c r="E133" s="246">
        <v>10</v>
      </c>
      <c r="F133" s="275">
        <f t="shared" si="2"/>
        <v>30</v>
      </c>
      <c r="G133" s="276">
        <f t="shared" si="3"/>
        <v>100</v>
      </c>
    </row>
    <row r="134" spans="1:7" s="277" customFormat="1" ht="19.5" customHeight="1">
      <c r="A134" s="315" t="s">
        <v>1396</v>
      </c>
      <c r="B134" s="274" t="s">
        <v>881</v>
      </c>
      <c r="C134" s="246">
        <v>25</v>
      </c>
      <c r="D134" s="246">
        <v>25</v>
      </c>
      <c r="E134" s="246">
        <v>0</v>
      </c>
      <c r="F134" s="275">
        <f t="shared" si="2"/>
        <v>25</v>
      </c>
      <c r="G134" s="276">
        <f t="shared" si="3"/>
        <v>100</v>
      </c>
    </row>
    <row r="135" spans="1:7" s="277" customFormat="1" ht="19.5" customHeight="1">
      <c r="A135" s="315" t="s">
        <v>1363</v>
      </c>
      <c r="B135" s="274" t="s">
        <v>882</v>
      </c>
      <c r="C135" s="246">
        <v>497.5</v>
      </c>
      <c r="D135" s="246">
        <v>497.5</v>
      </c>
      <c r="E135" s="246">
        <v>477.4</v>
      </c>
      <c r="F135" s="275">
        <f t="shared" si="2"/>
        <v>20.1</v>
      </c>
      <c r="G135" s="276">
        <f t="shared" si="3"/>
        <v>100</v>
      </c>
    </row>
    <row r="136" spans="1:7" s="277" customFormat="1" ht="19.5" customHeight="1">
      <c r="A136" s="315" t="s">
        <v>1362</v>
      </c>
      <c r="B136" s="274" t="s">
        <v>882</v>
      </c>
      <c r="C136" s="246">
        <v>16.1</v>
      </c>
      <c r="D136" s="246">
        <v>16.1</v>
      </c>
      <c r="E136" s="246">
        <v>0</v>
      </c>
      <c r="F136" s="275">
        <f aca="true" t="shared" si="4" ref="F136:F200">C136-E136</f>
        <v>16.1</v>
      </c>
      <c r="G136" s="276">
        <f t="shared" si="3"/>
        <v>100</v>
      </c>
    </row>
    <row r="137" spans="1:7" s="277" customFormat="1" ht="19.5" customHeight="1">
      <c r="A137" s="315" t="s">
        <v>1397</v>
      </c>
      <c r="B137" s="274" t="s">
        <v>882</v>
      </c>
      <c r="C137" s="246">
        <v>5</v>
      </c>
      <c r="D137" s="246">
        <v>5</v>
      </c>
      <c r="E137" s="246">
        <v>5</v>
      </c>
      <c r="F137" s="275">
        <f t="shared" si="4"/>
        <v>0</v>
      </c>
      <c r="G137" s="276">
        <f t="shared" si="3"/>
        <v>100</v>
      </c>
    </row>
    <row r="138" spans="1:7" s="277" customFormat="1" ht="19.5" customHeight="1">
      <c r="A138" s="315" t="s">
        <v>1398</v>
      </c>
      <c r="B138" s="274" t="s">
        <v>882</v>
      </c>
      <c r="C138" s="246">
        <v>71.9</v>
      </c>
      <c r="D138" s="246">
        <v>71.81</v>
      </c>
      <c r="E138" s="246">
        <v>71.81</v>
      </c>
      <c r="F138" s="275">
        <f t="shared" si="4"/>
        <v>0.09</v>
      </c>
      <c r="G138" s="276">
        <f t="shared" si="3"/>
        <v>99.87</v>
      </c>
    </row>
    <row r="139" spans="1:7" s="277" customFormat="1" ht="19.5" customHeight="1">
      <c r="A139" s="315" t="s">
        <v>1399</v>
      </c>
      <c r="B139" s="274" t="s">
        <v>883</v>
      </c>
      <c r="C139" s="246">
        <v>16</v>
      </c>
      <c r="D139" s="246">
        <v>16</v>
      </c>
      <c r="E139" s="246">
        <v>16</v>
      </c>
      <c r="F139" s="275">
        <f t="shared" si="4"/>
        <v>0</v>
      </c>
      <c r="G139" s="276">
        <f t="shared" si="3"/>
        <v>100</v>
      </c>
    </row>
    <row r="140" spans="1:7" s="277" customFormat="1" ht="19.5" customHeight="1">
      <c r="A140" s="315" t="s">
        <v>1400</v>
      </c>
      <c r="B140" s="274" t="s">
        <v>884</v>
      </c>
      <c r="C140" s="246">
        <v>10137</v>
      </c>
      <c r="D140" s="246">
        <v>10137</v>
      </c>
      <c r="E140" s="246">
        <v>10137</v>
      </c>
      <c r="F140" s="275">
        <f t="shared" si="4"/>
        <v>0</v>
      </c>
      <c r="G140" s="276">
        <f t="shared" si="3"/>
        <v>100</v>
      </c>
    </row>
    <row r="141" spans="1:7" s="277" customFormat="1" ht="19.5" customHeight="1">
      <c r="A141" s="315" t="s">
        <v>1401</v>
      </c>
      <c r="B141" s="274" t="s">
        <v>884</v>
      </c>
      <c r="C141" s="246">
        <v>102.7</v>
      </c>
      <c r="D141" s="246">
        <v>102.7</v>
      </c>
      <c r="E141" s="246">
        <v>102.7</v>
      </c>
      <c r="F141" s="275">
        <f t="shared" si="4"/>
        <v>0</v>
      </c>
      <c r="G141" s="276">
        <f t="shared" si="3"/>
        <v>100</v>
      </c>
    </row>
    <row r="142" spans="1:7" s="277" customFormat="1" ht="19.5" customHeight="1">
      <c r="A142" s="315" t="s">
        <v>1402</v>
      </c>
      <c r="B142" s="274" t="s">
        <v>884</v>
      </c>
      <c r="C142" s="246">
        <v>27.7</v>
      </c>
      <c r="D142" s="246">
        <v>27.7</v>
      </c>
      <c r="E142" s="246">
        <v>27.7</v>
      </c>
      <c r="F142" s="275">
        <f t="shared" si="4"/>
        <v>0</v>
      </c>
      <c r="G142" s="276">
        <f t="shared" si="3"/>
        <v>100</v>
      </c>
    </row>
    <row r="143" spans="1:7" s="277" customFormat="1" ht="19.5" customHeight="1">
      <c r="A143" s="315" t="s">
        <v>1403</v>
      </c>
      <c r="B143" s="274" t="s">
        <v>885</v>
      </c>
      <c r="C143" s="246">
        <v>300.3</v>
      </c>
      <c r="D143" s="246">
        <v>300.3</v>
      </c>
      <c r="E143" s="246">
        <v>300.3</v>
      </c>
      <c r="F143" s="275">
        <f t="shared" si="4"/>
        <v>0</v>
      </c>
      <c r="G143" s="276">
        <f t="shared" si="3"/>
        <v>100</v>
      </c>
    </row>
    <row r="144" spans="1:7" s="277" customFormat="1" ht="19.5" customHeight="1">
      <c r="A144" s="315" t="s">
        <v>1404</v>
      </c>
      <c r="B144" s="274" t="s">
        <v>886</v>
      </c>
      <c r="C144" s="246">
        <v>119</v>
      </c>
      <c r="D144" s="246">
        <v>119</v>
      </c>
      <c r="E144" s="246">
        <v>119</v>
      </c>
      <c r="F144" s="275">
        <f t="shared" si="4"/>
        <v>0</v>
      </c>
      <c r="G144" s="276">
        <f t="shared" si="3"/>
        <v>100</v>
      </c>
    </row>
    <row r="145" spans="1:7" s="277" customFormat="1" ht="19.5" customHeight="1">
      <c r="A145" s="315" t="s">
        <v>1405</v>
      </c>
      <c r="B145" s="274" t="s">
        <v>887</v>
      </c>
      <c r="C145" s="246">
        <v>297.9</v>
      </c>
      <c r="D145" s="246">
        <v>297.9</v>
      </c>
      <c r="E145" s="246">
        <v>297.9</v>
      </c>
      <c r="F145" s="275">
        <f t="shared" si="4"/>
        <v>0</v>
      </c>
      <c r="G145" s="276">
        <f t="shared" si="3"/>
        <v>100</v>
      </c>
    </row>
    <row r="146" spans="1:7" s="277" customFormat="1" ht="19.5" customHeight="1">
      <c r="A146" s="315" t="s">
        <v>1406</v>
      </c>
      <c r="B146" s="274" t="s">
        <v>887</v>
      </c>
      <c r="C146" s="246">
        <v>1434</v>
      </c>
      <c r="D146" s="246">
        <v>1434</v>
      </c>
      <c r="E146" s="246">
        <v>348</v>
      </c>
      <c r="F146" s="275">
        <f t="shared" si="4"/>
        <v>1086</v>
      </c>
      <c r="G146" s="276">
        <f t="shared" si="3"/>
        <v>100</v>
      </c>
    </row>
    <row r="147" spans="1:7" s="277" customFormat="1" ht="19.5" customHeight="1">
      <c r="A147" s="315" t="s">
        <v>1407</v>
      </c>
      <c r="B147" s="274" t="s">
        <v>887</v>
      </c>
      <c r="C147" s="246">
        <v>519</v>
      </c>
      <c r="D147" s="246">
        <v>519</v>
      </c>
      <c r="E147" s="246">
        <v>519</v>
      </c>
      <c r="F147" s="275">
        <f t="shared" si="4"/>
        <v>0</v>
      </c>
      <c r="G147" s="276">
        <f t="shared" si="3"/>
        <v>100</v>
      </c>
    </row>
    <row r="148" spans="1:7" s="277" customFormat="1" ht="19.5" customHeight="1">
      <c r="A148" s="315" t="s">
        <v>1408</v>
      </c>
      <c r="B148" s="274" t="s">
        <v>887</v>
      </c>
      <c r="C148" s="246">
        <v>120</v>
      </c>
      <c r="D148" s="246">
        <v>120</v>
      </c>
      <c r="E148" s="246">
        <v>120</v>
      </c>
      <c r="F148" s="275">
        <f t="shared" si="4"/>
        <v>0</v>
      </c>
      <c r="G148" s="276">
        <f t="shared" si="3"/>
        <v>100</v>
      </c>
    </row>
    <row r="149" spans="1:7" s="277" customFormat="1" ht="19.5" customHeight="1">
      <c r="A149" s="315" t="s">
        <v>1409</v>
      </c>
      <c r="B149" s="274" t="s">
        <v>887</v>
      </c>
      <c r="C149" s="246">
        <v>292.6</v>
      </c>
      <c r="D149" s="246">
        <v>292.6</v>
      </c>
      <c r="E149" s="246">
        <v>292.6</v>
      </c>
      <c r="F149" s="275">
        <f t="shared" si="4"/>
        <v>0</v>
      </c>
      <c r="G149" s="276">
        <f t="shared" si="3"/>
        <v>100</v>
      </c>
    </row>
    <row r="150" spans="1:7" s="277" customFormat="1" ht="19.5" customHeight="1">
      <c r="A150" s="315" t="s">
        <v>1410</v>
      </c>
      <c r="B150" s="274" t="s">
        <v>887</v>
      </c>
      <c r="C150" s="246">
        <v>6</v>
      </c>
      <c r="D150" s="246">
        <v>6</v>
      </c>
      <c r="E150" s="246">
        <v>6</v>
      </c>
      <c r="F150" s="275">
        <f t="shared" si="4"/>
        <v>0</v>
      </c>
      <c r="G150" s="276">
        <f t="shared" si="3"/>
        <v>100</v>
      </c>
    </row>
    <row r="151" spans="1:7" s="277" customFormat="1" ht="19.5" customHeight="1">
      <c r="A151" s="315" t="s">
        <v>1411</v>
      </c>
      <c r="B151" s="274" t="s">
        <v>887</v>
      </c>
      <c r="C151" s="246">
        <v>54</v>
      </c>
      <c r="D151" s="246">
        <v>54</v>
      </c>
      <c r="E151" s="246">
        <v>54</v>
      </c>
      <c r="F151" s="275">
        <f t="shared" si="4"/>
        <v>0</v>
      </c>
      <c r="G151" s="276">
        <f t="shared" si="3"/>
        <v>100</v>
      </c>
    </row>
    <row r="152" spans="1:7" s="277" customFormat="1" ht="19.5" customHeight="1">
      <c r="A152" s="315" t="s">
        <v>1412</v>
      </c>
      <c r="B152" s="274" t="s">
        <v>887</v>
      </c>
      <c r="C152" s="246">
        <v>1105.3</v>
      </c>
      <c r="D152" s="246">
        <v>1105.3</v>
      </c>
      <c r="E152" s="246">
        <v>1105.3</v>
      </c>
      <c r="F152" s="275">
        <f t="shared" si="4"/>
        <v>0</v>
      </c>
      <c r="G152" s="276">
        <f t="shared" si="3"/>
        <v>100</v>
      </c>
    </row>
    <row r="153" spans="1:7" s="277" customFormat="1" ht="19.5" customHeight="1">
      <c r="A153" s="315" t="s">
        <v>1413</v>
      </c>
      <c r="B153" s="274" t="s">
        <v>887</v>
      </c>
      <c r="C153" s="246">
        <v>654.18</v>
      </c>
      <c r="D153" s="246">
        <f>654.14+0.04</f>
        <v>654.18</v>
      </c>
      <c r="E153" s="246">
        <f>654.14</f>
        <v>654.14</v>
      </c>
      <c r="F153" s="275">
        <f t="shared" si="4"/>
        <v>0.04</v>
      </c>
      <c r="G153" s="276">
        <f t="shared" si="3"/>
        <v>100</v>
      </c>
    </row>
    <row r="154" spans="1:7" s="277" customFormat="1" ht="19.5" customHeight="1">
      <c r="A154" s="315" t="s">
        <v>1414</v>
      </c>
      <c r="B154" s="274" t="s">
        <v>887</v>
      </c>
      <c r="C154" s="246">
        <v>168</v>
      </c>
      <c r="D154" s="246">
        <v>168</v>
      </c>
      <c r="E154" s="246">
        <v>135.8</v>
      </c>
      <c r="F154" s="275">
        <f t="shared" si="4"/>
        <v>32.2</v>
      </c>
      <c r="G154" s="276">
        <f t="shared" si="3"/>
        <v>100</v>
      </c>
    </row>
    <row r="155" spans="1:7" s="277" customFormat="1" ht="19.5" customHeight="1">
      <c r="A155" s="315" t="s">
        <v>1415</v>
      </c>
      <c r="B155" s="274" t="s">
        <v>887</v>
      </c>
      <c r="C155" s="246">
        <v>3334</v>
      </c>
      <c r="D155" s="239">
        <v>3097.11</v>
      </c>
      <c r="E155" s="239">
        <v>3097.11</v>
      </c>
      <c r="F155" s="275">
        <f t="shared" si="4"/>
        <v>236.89</v>
      </c>
      <c r="G155" s="276">
        <f t="shared" si="3"/>
        <v>92.89</v>
      </c>
    </row>
    <row r="156" spans="1:7" ht="15">
      <c r="A156" s="315" t="s">
        <v>1416</v>
      </c>
      <c r="B156" s="274" t="s">
        <v>1273</v>
      </c>
      <c r="C156" s="246">
        <v>-38.5</v>
      </c>
      <c r="D156" s="246">
        <v>-38.5</v>
      </c>
      <c r="E156" s="246">
        <v>-38.5</v>
      </c>
      <c r="F156" s="275">
        <f t="shared" si="4"/>
        <v>0</v>
      </c>
      <c r="G156" s="276">
        <f aca="true" t="shared" si="5" ref="G156:G163">D156/C156*100</f>
        <v>100</v>
      </c>
    </row>
    <row r="157" spans="1:7" ht="15">
      <c r="A157" s="315" t="s">
        <v>1417</v>
      </c>
      <c r="B157" s="274" t="s">
        <v>1273</v>
      </c>
      <c r="C157" s="246">
        <v>-9.15</v>
      </c>
      <c r="D157" s="246">
        <v>-9.15</v>
      </c>
      <c r="E157" s="246">
        <v>-9.15</v>
      </c>
      <c r="F157" s="275">
        <f t="shared" si="4"/>
        <v>0</v>
      </c>
      <c r="G157" s="276">
        <f t="shared" si="5"/>
        <v>100</v>
      </c>
    </row>
    <row r="158" spans="1:7" ht="15">
      <c r="A158" s="315" t="s">
        <v>1418</v>
      </c>
      <c r="B158" s="274" t="s">
        <v>1270</v>
      </c>
      <c r="C158" s="246">
        <v>-613.559</v>
      </c>
      <c r="D158" s="246">
        <v>-613.559</v>
      </c>
      <c r="E158" s="246">
        <v>-613.559</v>
      </c>
      <c r="F158" s="275">
        <f t="shared" si="4"/>
        <v>0</v>
      </c>
      <c r="G158" s="276">
        <f t="shared" si="5"/>
        <v>100</v>
      </c>
    </row>
    <row r="159" spans="1:7" ht="15">
      <c r="A159" s="315" t="s">
        <v>1419</v>
      </c>
      <c r="B159" s="274" t="s">
        <v>1270</v>
      </c>
      <c r="C159" s="246">
        <v>-137.5</v>
      </c>
      <c r="D159" s="246">
        <v>-137.5</v>
      </c>
      <c r="E159" s="246">
        <v>-137.5</v>
      </c>
      <c r="F159" s="275">
        <f t="shared" si="4"/>
        <v>0</v>
      </c>
      <c r="G159" s="276">
        <f t="shared" si="5"/>
        <v>100</v>
      </c>
    </row>
    <row r="160" spans="1:7" ht="15">
      <c r="A160" s="315" t="s">
        <v>1420</v>
      </c>
      <c r="B160" s="274" t="s">
        <v>1270</v>
      </c>
      <c r="C160" s="246">
        <v>-1322</v>
      </c>
      <c r="D160" s="246">
        <v>-1322</v>
      </c>
      <c r="E160" s="246">
        <v>-1322</v>
      </c>
      <c r="F160" s="275">
        <f t="shared" si="4"/>
        <v>0</v>
      </c>
      <c r="G160" s="276">
        <f t="shared" si="5"/>
        <v>100</v>
      </c>
    </row>
    <row r="161" spans="1:7" s="279" customFormat="1" ht="27" customHeight="1">
      <c r="A161" s="315" t="s">
        <v>1418</v>
      </c>
      <c r="B161" s="274" t="s">
        <v>1270</v>
      </c>
      <c r="C161" s="246">
        <v>-604.211</v>
      </c>
      <c r="D161" s="246">
        <v>-604.211</v>
      </c>
      <c r="E161" s="246">
        <v>-604.211</v>
      </c>
      <c r="F161" s="275">
        <f t="shared" si="4"/>
        <v>0</v>
      </c>
      <c r="G161" s="276">
        <f t="shared" si="5"/>
        <v>100</v>
      </c>
    </row>
    <row r="162" spans="1:7" s="279" customFormat="1" ht="27" customHeight="1">
      <c r="A162" s="315" t="s">
        <v>1421</v>
      </c>
      <c r="B162" s="274" t="s">
        <v>1270</v>
      </c>
      <c r="C162" s="246">
        <v>-178</v>
      </c>
      <c r="D162" s="246">
        <v>-178</v>
      </c>
      <c r="E162" s="246">
        <v>-178</v>
      </c>
      <c r="F162" s="275">
        <f t="shared" si="4"/>
        <v>0</v>
      </c>
      <c r="G162" s="276">
        <f t="shared" si="5"/>
        <v>100</v>
      </c>
    </row>
    <row r="163" spans="1:7" ht="15">
      <c r="A163" s="315" t="s">
        <v>1422</v>
      </c>
      <c r="B163" s="274" t="s">
        <v>1276</v>
      </c>
      <c r="C163" s="246">
        <v>-677.64</v>
      </c>
      <c r="D163" s="246">
        <v>-677.64</v>
      </c>
      <c r="E163" s="246">
        <v>-677.64</v>
      </c>
      <c r="F163" s="275">
        <f t="shared" si="4"/>
        <v>0</v>
      </c>
      <c r="G163" s="276">
        <f t="shared" si="5"/>
        <v>100</v>
      </c>
    </row>
    <row r="164" spans="1:7" ht="15">
      <c r="A164" s="315" t="s">
        <v>1423</v>
      </c>
      <c r="B164" s="274" t="s">
        <v>1270</v>
      </c>
      <c r="C164" s="246">
        <v>-38.5</v>
      </c>
      <c r="D164" s="246">
        <v>-38.5</v>
      </c>
      <c r="E164" s="246">
        <v>-38.5</v>
      </c>
      <c r="F164" s="275">
        <f>C164-E164</f>
        <v>0</v>
      </c>
      <c r="G164" s="276">
        <f>D164/C164*100</f>
        <v>100</v>
      </c>
    </row>
    <row r="165" spans="1:7" s="277" customFormat="1" ht="19.5" customHeight="1">
      <c r="A165" s="315" t="s">
        <v>1424</v>
      </c>
      <c r="B165" s="220" t="s">
        <v>1170</v>
      </c>
      <c r="C165" s="246">
        <v>250</v>
      </c>
      <c r="D165" s="243">
        <v>250</v>
      </c>
      <c r="E165" s="246"/>
      <c r="F165" s="275">
        <f t="shared" si="4"/>
        <v>250</v>
      </c>
      <c r="G165" s="276">
        <f t="shared" si="3"/>
        <v>100</v>
      </c>
    </row>
    <row r="166" spans="1:7" ht="15">
      <c r="A166" s="315" t="s">
        <v>1425</v>
      </c>
      <c r="B166" s="274" t="s">
        <v>1274</v>
      </c>
      <c r="C166" s="246">
        <v>-142</v>
      </c>
      <c r="D166" s="246">
        <v>-142</v>
      </c>
      <c r="E166" s="246">
        <v>-142</v>
      </c>
      <c r="F166" s="275">
        <f t="shared" si="4"/>
        <v>0</v>
      </c>
      <c r="G166" s="276">
        <f>D166/C166*100</f>
        <v>100</v>
      </c>
    </row>
    <row r="167" spans="1:7" s="277" customFormat="1" ht="19.5" customHeight="1">
      <c r="A167" s="315" t="s">
        <v>1426</v>
      </c>
      <c r="B167" s="85" t="s">
        <v>1079</v>
      </c>
      <c r="C167" s="246">
        <v>3994</v>
      </c>
      <c r="D167" s="246">
        <v>3994</v>
      </c>
      <c r="E167" s="246"/>
      <c r="F167" s="275">
        <f t="shared" si="4"/>
        <v>3994</v>
      </c>
      <c r="G167" s="276">
        <f t="shared" si="3"/>
        <v>100</v>
      </c>
    </row>
    <row r="168" spans="1:7" s="277" customFormat="1" ht="19.5" customHeight="1">
      <c r="A168" s="315" t="s">
        <v>1427</v>
      </c>
      <c r="B168" s="85" t="s">
        <v>1080</v>
      </c>
      <c r="C168" s="246">
        <v>240</v>
      </c>
      <c r="D168" s="246">
        <v>240</v>
      </c>
      <c r="E168" s="246">
        <v>240</v>
      </c>
      <c r="F168" s="275">
        <f t="shared" si="4"/>
        <v>0</v>
      </c>
      <c r="G168" s="276">
        <f t="shared" si="3"/>
        <v>100</v>
      </c>
    </row>
    <row r="169" spans="1:7" s="277" customFormat="1" ht="19.5" customHeight="1">
      <c r="A169" s="315" t="s">
        <v>1428</v>
      </c>
      <c r="B169" s="274" t="s">
        <v>888</v>
      </c>
      <c r="C169" s="246">
        <v>23</v>
      </c>
      <c r="D169" s="246">
        <v>23</v>
      </c>
      <c r="E169" s="246">
        <v>0</v>
      </c>
      <c r="F169" s="275">
        <f t="shared" si="4"/>
        <v>23</v>
      </c>
      <c r="G169" s="276">
        <f t="shared" si="3"/>
        <v>100</v>
      </c>
    </row>
    <row r="170" spans="1:7" s="277" customFormat="1" ht="19.5" customHeight="1">
      <c r="A170" s="315" t="s">
        <v>1429</v>
      </c>
      <c r="B170" s="274" t="s">
        <v>889</v>
      </c>
      <c r="C170" s="246">
        <v>1960</v>
      </c>
      <c r="D170" s="246">
        <v>1960</v>
      </c>
      <c r="E170" s="246">
        <v>1960</v>
      </c>
      <c r="F170" s="275">
        <f t="shared" si="4"/>
        <v>0</v>
      </c>
      <c r="G170" s="276">
        <f t="shared" si="3"/>
        <v>100</v>
      </c>
    </row>
    <row r="171" spans="1:7" s="277" customFormat="1" ht="19.5" customHeight="1">
      <c r="A171" s="315" t="s">
        <v>1430</v>
      </c>
      <c r="B171" s="274" t="s">
        <v>889</v>
      </c>
      <c r="C171" s="246">
        <v>652.84</v>
      </c>
      <c r="D171" s="246">
        <v>652.84</v>
      </c>
      <c r="E171" s="246">
        <v>516.87</v>
      </c>
      <c r="F171" s="275">
        <f t="shared" si="4"/>
        <v>135.97</v>
      </c>
      <c r="G171" s="276">
        <f t="shared" si="3"/>
        <v>100</v>
      </c>
    </row>
    <row r="172" spans="1:7" s="277" customFormat="1" ht="19.5" customHeight="1">
      <c r="A172" s="315" t="s">
        <v>1431</v>
      </c>
      <c r="B172" s="274" t="s">
        <v>889</v>
      </c>
      <c r="C172" s="246">
        <v>20000</v>
      </c>
      <c r="D172" s="246"/>
      <c r="E172" s="246"/>
      <c r="F172" s="275">
        <f t="shared" si="4"/>
        <v>20000</v>
      </c>
      <c r="G172" s="276">
        <f t="shared" si="3"/>
        <v>0</v>
      </c>
    </row>
    <row r="173" spans="1:7" s="277" customFormat="1" ht="19.5" customHeight="1">
      <c r="A173" s="315" t="s">
        <v>1432</v>
      </c>
      <c r="B173" s="274" t="s">
        <v>889</v>
      </c>
      <c r="C173" s="246">
        <v>68.12</v>
      </c>
      <c r="D173" s="246"/>
      <c r="E173" s="246"/>
      <c r="F173" s="275">
        <f t="shared" si="4"/>
        <v>68.12</v>
      </c>
      <c r="G173" s="276">
        <f t="shared" si="3"/>
        <v>0</v>
      </c>
    </row>
    <row r="174" spans="1:7" s="277" customFormat="1" ht="19.5" customHeight="1">
      <c r="A174" s="315" t="s">
        <v>1433</v>
      </c>
      <c r="B174" s="274" t="s">
        <v>889</v>
      </c>
      <c r="C174" s="246">
        <v>2.85</v>
      </c>
      <c r="D174" s="246"/>
      <c r="E174" s="246"/>
      <c r="F174" s="275">
        <f t="shared" si="4"/>
        <v>2.85</v>
      </c>
      <c r="G174" s="276">
        <f t="shared" si="3"/>
        <v>0</v>
      </c>
    </row>
    <row r="175" spans="1:7" s="277" customFormat="1" ht="19.5" customHeight="1">
      <c r="A175" s="315" t="s">
        <v>1434</v>
      </c>
      <c r="B175" s="274" t="s">
        <v>889</v>
      </c>
      <c r="C175" s="246">
        <v>6.49</v>
      </c>
      <c r="D175" s="246"/>
      <c r="E175" s="246"/>
      <c r="F175" s="275">
        <f t="shared" si="4"/>
        <v>6.49</v>
      </c>
      <c r="G175" s="276">
        <f t="shared" si="3"/>
        <v>0</v>
      </c>
    </row>
    <row r="176" spans="1:7" s="277" customFormat="1" ht="19.5" customHeight="1">
      <c r="A176" s="315" t="s">
        <v>1435</v>
      </c>
      <c r="B176" s="274" t="s">
        <v>889</v>
      </c>
      <c r="C176" s="246">
        <v>558.98</v>
      </c>
      <c r="D176" s="246"/>
      <c r="E176" s="246"/>
      <c r="F176" s="275">
        <f t="shared" si="4"/>
        <v>558.98</v>
      </c>
      <c r="G176" s="276">
        <f t="shared" si="3"/>
        <v>0</v>
      </c>
    </row>
    <row r="177" spans="1:7" s="277" customFormat="1" ht="19.5" customHeight="1">
      <c r="A177" s="315" t="s">
        <v>1436</v>
      </c>
      <c r="B177" s="274" t="s">
        <v>889</v>
      </c>
      <c r="C177" s="246">
        <v>176.44</v>
      </c>
      <c r="D177" s="246"/>
      <c r="E177" s="246"/>
      <c r="F177" s="275">
        <f t="shared" si="4"/>
        <v>176.44</v>
      </c>
      <c r="G177" s="276">
        <f t="shared" si="3"/>
        <v>0</v>
      </c>
    </row>
    <row r="178" spans="1:7" s="277" customFormat="1" ht="19.5" customHeight="1">
      <c r="A178" s="315" t="s">
        <v>1437</v>
      </c>
      <c r="B178" s="274" t="s">
        <v>889</v>
      </c>
      <c r="C178" s="246">
        <v>361.74</v>
      </c>
      <c r="D178" s="246"/>
      <c r="E178" s="246"/>
      <c r="F178" s="275">
        <f t="shared" si="4"/>
        <v>361.74</v>
      </c>
      <c r="G178" s="276">
        <f t="shared" si="3"/>
        <v>0</v>
      </c>
    </row>
    <row r="179" spans="1:7" s="277" customFormat="1" ht="19.5" customHeight="1">
      <c r="A179" s="315" t="s">
        <v>1438</v>
      </c>
      <c r="B179" s="274" t="s">
        <v>890</v>
      </c>
      <c r="C179" s="246">
        <v>259.5</v>
      </c>
      <c r="D179" s="246">
        <v>259.5</v>
      </c>
      <c r="E179" s="246">
        <v>259.5</v>
      </c>
      <c r="F179" s="275">
        <f t="shared" si="4"/>
        <v>0</v>
      </c>
      <c r="G179" s="276">
        <f t="shared" si="3"/>
        <v>100</v>
      </c>
    </row>
    <row r="180" spans="1:7" s="277" customFormat="1" ht="19.5" customHeight="1">
      <c r="A180" s="315" t="s">
        <v>1439</v>
      </c>
      <c r="B180" s="274" t="s">
        <v>891</v>
      </c>
      <c r="C180" s="246">
        <v>9.8</v>
      </c>
      <c r="D180" s="246">
        <v>0</v>
      </c>
      <c r="E180" s="246">
        <v>0</v>
      </c>
      <c r="F180" s="275">
        <f t="shared" si="4"/>
        <v>9.8</v>
      </c>
      <c r="G180" s="276">
        <f t="shared" si="3"/>
        <v>0</v>
      </c>
    </row>
    <row r="181" spans="1:7" s="277" customFormat="1" ht="19.5" customHeight="1">
      <c r="A181" s="315" t="s">
        <v>1440</v>
      </c>
      <c r="B181" s="274" t="s">
        <v>892</v>
      </c>
      <c r="C181" s="246">
        <v>2304</v>
      </c>
      <c r="D181" s="246">
        <v>2304</v>
      </c>
      <c r="E181" s="246">
        <v>2304</v>
      </c>
      <c r="F181" s="275">
        <f t="shared" si="4"/>
        <v>0</v>
      </c>
      <c r="G181" s="276">
        <f t="shared" si="3"/>
        <v>100</v>
      </c>
    </row>
    <row r="182" spans="1:7" s="277" customFormat="1" ht="19.5" customHeight="1">
      <c r="A182" s="315" t="s">
        <v>1441</v>
      </c>
      <c r="B182" s="274" t="s">
        <v>892</v>
      </c>
      <c r="C182" s="246">
        <v>162</v>
      </c>
      <c r="D182" s="246">
        <v>162</v>
      </c>
      <c r="E182" s="246">
        <v>162</v>
      </c>
      <c r="F182" s="275">
        <f t="shared" si="4"/>
        <v>0</v>
      </c>
      <c r="G182" s="276">
        <f t="shared" si="3"/>
        <v>100</v>
      </c>
    </row>
    <row r="183" spans="1:7" s="277" customFormat="1" ht="19.5" customHeight="1">
      <c r="A183" s="315" t="s">
        <v>1442</v>
      </c>
      <c r="B183" s="274" t="s">
        <v>893</v>
      </c>
      <c r="C183" s="246">
        <v>24</v>
      </c>
      <c r="D183" s="246">
        <v>24</v>
      </c>
      <c r="E183" s="246">
        <v>24</v>
      </c>
      <c r="F183" s="275">
        <f t="shared" si="4"/>
        <v>0</v>
      </c>
      <c r="G183" s="276">
        <f t="shared" si="3"/>
        <v>100</v>
      </c>
    </row>
    <row r="184" spans="1:7" s="277" customFormat="1" ht="19.5" customHeight="1">
      <c r="A184" s="315" t="s">
        <v>1443</v>
      </c>
      <c r="B184" s="274" t="s">
        <v>893</v>
      </c>
      <c r="C184" s="246">
        <v>382.7</v>
      </c>
      <c r="D184" s="246">
        <v>127.51</v>
      </c>
      <c r="E184" s="246">
        <v>127.51</v>
      </c>
      <c r="F184" s="275">
        <f t="shared" si="4"/>
        <v>255.19</v>
      </c>
      <c r="G184" s="276">
        <f aca="true" t="shared" si="6" ref="G184:G214">D184/C184*100</f>
        <v>33.32</v>
      </c>
    </row>
    <row r="185" spans="1:7" s="277" customFormat="1" ht="19.5" customHeight="1">
      <c r="A185" s="315" t="s">
        <v>1444</v>
      </c>
      <c r="B185" s="274" t="s">
        <v>893</v>
      </c>
      <c r="C185" s="246">
        <v>370.2</v>
      </c>
      <c r="D185" s="246">
        <v>0</v>
      </c>
      <c r="E185" s="246">
        <v>0</v>
      </c>
      <c r="F185" s="275">
        <f t="shared" si="4"/>
        <v>370.2</v>
      </c>
      <c r="G185" s="276">
        <f t="shared" si="6"/>
        <v>0</v>
      </c>
    </row>
    <row r="186" spans="1:7" s="277" customFormat="1" ht="19.5" customHeight="1">
      <c r="A186" s="315" t="s">
        <v>1471</v>
      </c>
      <c r="B186" s="274" t="s">
        <v>893</v>
      </c>
      <c r="C186" s="246">
        <v>362</v>
      </c>
      <c r="D186" s="246"/>
      <c r="E186" s="246"/>
      <c r="F186" s="275">
        <f t="shared" si="4"/>
        <v>362</v>
      </c>
      <c r="G186" s="276">
        <f t="shared" si="6"/>
        <v>0</v>
      </c>
    </row>
    <row r="187" spans="1:7" s="277" customFormat="1" ht="19.5" customHeight="1">
      <c r="A187" s="315" t="s">
        <v>1445</v>
      </c>
      <c r="B187" s="274" t="s">
        <v>894</v>
      </c>
      <c r="C187" s="246">
        <v>467</v>
      </c>
      <c r="D187" s="246">
        <v>467</v>
      </c>
      <c r="E187" s="246">
        <v>371.56</v>
      </c>
      <c r="F187" s="275">
        <f t="shared" si="4"/>
        <v>95.44</v>
      </c>
      <c r="G187" s="276">
        <f t="shared" si="6"/>
        <v>100</v>
      </c>
    </row>
    <row r="188" spans="1:7" s="277" customFormat="1" ht="19.5" customHeight="1">
      <c r="A188" s="315" t="s">
        <v>1446</v>
      </c>
      <c r="B188" s="274" t="s">
        <v>895</v>
      </c>
      <c r="C188" s="246">
        <v>30.31</v>
      </c>
      <c r="D188" s="246">
        <v>30.31</v>
      </c>
      <c r="E188" s="246">
        <v>30.31</v>
      </c>
      <c r="F188" s="275">
        <f t="shared" si="4"/>
        <v>0</v>
      </c>
      <c r="G188" s="276">
        <f t="shared" si="6"/>
        <v>100</v>
      </c>
    </row>
    <row r="189" spans="1:7" s="277" customFormat="1" ht="19.5" customHeight="1">
      <c r="A189" s="315" t="s">
        <v>1447</v>
      </c>
      <c r="B189" s="274" t="s">
        <v>896</v>
      </c>
      <c r="C189" s="246">
        <v>90</v>
      </c>
      <c r="D189" s="246">
        <v>90</v>
      </c>
      <c r="E189" s="246">
        <v>90</v>
      </c>
      <c r="F189" s="275">
        <f t="shared" si="4"/>
        <v>0</v>
      </c>
      <c r="G189" s="276">
        <f t="shared" si="6"/>
        <v>100</v>
      </c>
    </row>
    <row r="190" spans="1:7" s="277" customFormat="1" ht="19.5" customHeight="1">
      <c r="A190" s="315" t="s">
        <v>1448</v>
      </c>
      <c r="B190" s="274" t="s">
        <v>896</v>
      </c>
      <c r="C190" s="246">
        <v>160</v>
      </c>
      <c r="D190" s="246"/>
      <c r="E190" s="246"/>
      <c r="F190" s="275">
        <f t="shared" si="4"/>
        <v>160</v>
      </c>
      <c r="G190" s="276">
        <f t="shared" si="6"/>
        <v>0</v>
      </c>
    </row>
    <row r="191" spans="1:7" s="277" customFormat="1" ht="19.5" customHeight="1">
      <c r="A191" s="315" t="s">
        <v>1449</v>
      </c>
      <c r="B191" s="274" t="s">
        <v>897</v>
      </c>
      <c r="C191" s="246">
        <v>60</v>
      </c>
      <c r="D191" s="246">
        <v>60</v>
      </c>
      <c r="E191" s="246">
        <v>60</v>
      </c>
      <c r="F191" s="275">
        <f t="shared" si="4"/>
        <v>0</v>
      </c>
      <c r="G191" s="276">
        <f t="shared" si="6"/>
        <v>100</v>
      </c>
    </row>
    <row r="192" spans="1:7" s="277" customFormat="1" ht="19.5" customHeight="1">
      <c r="A192" s="315" t="s">
        <v>1450</v>
      </c>
      <c r="B192" s="274" t="s">
        <v>897</v>
      </c>
      <c r="C192" s="246">
        <v>6</v>
      </c>
      <c r="D192" s="246"/>
      <c r="E192" s="246"/>
      <c r="F192" s="275">
        <f t="shared" si="4"/>
        <v>6</v>
      </c>
      <c r="G192" s="276">
        <f t="shared" si="6"/>
        <v>0</v>
      </c>
    </row>
    <row r="193" spans="1:7" s="277" customFormat="1" ht="19.5" customHeight="1">
      <c r="A193" s="315" t="s">
        <v>1472</v>
      </c>
      <c r="B193" s="203" t="s">
        <v>1082</v>
      </c>
      <c r="C193" s="246">
        <v>490</v>
      </c>
      <c r="D193" s="246">
        <v>490</v>
      </c>
      <c r="E193" s="246">
        <v>490</v>
      </c>
      <c r="F193" s="275">
        <f t="shared" si="4"/>
        <v>0</v>
      </c>
      <c r="G193" s="276">
        <f t="shared" si="6"/>
        <v>100</v>
      </c>
    </row>
    <row r="194" spans="1:7" s="277" customFormat="1" ht="19.5" customHeight="1">
      <c r="A194" s="315" t="s">
        <v>1451</v>
      </c>
      <c r="B194" s="204" t="s">
        <v>1082</v>
      </c>
      <c r="C194" s="246">
        <v>50</v>
      </c>
      <c r="D194" s="246">
        <v>50</v>
      </c>
      <c r="E194" s="246">
        <v>50</v>
      </c>
      <c r="F194" s="275">
        <f t="shared" si="4"/>
        <v>0</v>
      </c>
      <c r="G194" s="276">
        <f t="shared" si="6"/>
        <v>100</v>
      </c>
    </row>
    <row r="195" spans="1:7" s="277" customFormat="1" ht="19.5" customHeight="1">
      <c r="A195" s="315" t="s">
        <v>1473</v>
      </c>
      <c r="B195" s="204" t="s">
        <v>1082</v>
      </c>
      <c r="C195" s="246">
        <v>125</v>
      </c>
      <c r="D195" s="246"/>
      <c r="E195" s="246"/>
      <c r="F195" s="275">
        <f t="shared" si="4"/>
        <v>125</v>
      </c>
      <c r="G195" s="276">
        <f t="shared" si="6"/>
        <v>0</v>
      </c>
    </row>
    <row r="196" spans="1:7" s="277" customFormat="1" ht="19.5" customHeight="1">
      <c r="A196" s="315" t="s">
        <v>1452</v>
      </c>
      <c r="B196" s="274" t="s">
        <v>898</v>
      </c>
      <c r="C196" s="246">
        <v>1350</v>
      </c>
      <c r="D196" s="246">
        <v>1350</v>
      </c>
      <c r="E196" s="246">
        <v>1350</v>
      </c>
      <c r="F196" s="275">
        <f t="shared" si="4"/>
        <v>0</v>
      </c>
      <c r="G196" s="276">
        <f t="shared" si="6"/>
        <v>100</v>
      </c>
    </row>
    <row r="197" spans="1:7" s="277" customFormat="1" ht="19.5" customHeight="1">
      <c r="A197" s="315" t="s">
        <v>1453</v>
      </c>
      <c r="B197" s="274" t="s">
        <v>898</v>
      </c>
      <c r="C197" s="246">
        <v>2103</v>
      </c>
      <c r="D197" s="246">
        <v>2103</v>
      </c>
      <c r="E197" s="246">
        <v>1503</v>
      </c>
      <c r="F197" s="275">
        <f t="shared" si="4"/>
        <v>600</v>
      </c>
      <c r="G197" s="276">
        <f t="shared" si="6"/>
        <v>100</v>
      </c>
    </row>
    <row r="198" spans="1:7" s="277" customFormat="1" ht="19.5" customHeight="1">
      <c r="A198" s="315" t="s">
        <v>1454</v>
      </c>
      <c r="B198" s="274" t="s">
        <v>899</v>
      </c>
      <c r="C198" s="246">
        <v>22</v>
      </c>
      <c r="D198" s="246">
        <v>22</v>
      </c>
      <c r="E198" s="246">
        <v>0</v>
      </c>
      <c r="F198" s="275">
        <f t="shared" si="4"/>
        <v>22</v>
      </c>
      <c r="G198" s="276">
        <f t="shared" si="6"/>
        <v>100</v>
      </c>
    </row>
    <row r="199" spans="1:7" s="277" customFormat="1" ht="19.5" customHeight="1">
      <c r="A199" s="315" t="s">
        <v>1455</v>
      </c>
      <c r="B199" s="274" t="s">
        <v>899</v>
      </c>
      <c r="C199" s="246">
        <v>23.57</v>
      </c>
      <c r="D199" s="246">
        <v>23.57</v>
      </c>
      <c r="E199" s="246">
        <v>23.57</v>
      </c>
      <c r="F199" s="275">
        <f t="shared" si="4"/>
        <v>0</v>
      </c>
      <c r="G199" s="276">
        <f t="shared" si="6"/>
        <v>100</v>
      </c>
    </row>
    <row r="200" spans="1:7" s="277" customFormat="1" ht="19.5" customHeight="1">
      <c r="A200" s="315" t="s">
        <v>1456</v>
      </c>
      <c r="B200" s="274" t="s">
        <v>899</v>
      </c>
      <c r="C200" s="246">
        <v>60</v>
      </c>
      <c r="D200" s="246">
        <v>60</v>
      </c>
      <c r="E200" s="246">
        <v>56.68</v>
      </c>
      <c r="F200" s="275">
        <f t="shared" si="4"/>
        <v>3.32</v>
      </c>
      <c r="G200" s="276">
        <f t="shared" si="6"/>
        <v>100</v>
      </c>
    </row>
    <row r="201" spans="1:7" s="277" customFormat="1" ht="19.5" customHeight="1">
      <c r="A201" s="315" t="s">
        <v>1457</v>
      </c>
      <c r="B201" s="274" t="s">
        <v>899</v>
      </c>
      <c r="C201" s="246">
        <v>118.22</v>
      </c>
      <c r="D201" s="246">
        <v>118.22</v>
      </c>
      <c r="E201" s="246">
        <v>0</v>
      </c>
      <c r="F201" s="275">
        <f aca="true" t="shared" si="7" ref="F201:F236">C201-E201</f>
        <v>118.22</v>
      </c>
      <c r="G201" s="276">
        <f t="shared" si="6"/>
        <v>100</v>
      </c>
    </row>
    <row r="202" spans="1:7" s="277" customFormat="1" ht="19.5" customHeight="1">
      <c r="A202" s="315" t="s">
        <v>1458</v>
      </c>
      <c r="B202" s="274" t="s">
        <v>899</v>
      </c>
      <c r="C202" s="246">
        <v>600</v>
      </c>
      <c r="D202" s="246"/>
      <c r="E202" s="246"/>
      <c r="F202" s="275">
        <f t="shared" si="7"/>
        <v>600</v>
      </c>
      <c r="G202" s="276">
        <f t="shared" si="6"/>
        <v>0</v>
      </c>
    </row>
    <row r="203" spans="1:7" s="277" customFormat="1" ht="19.5" customHeight="1">
      <c r="A203" s="315" t="s">
        <v>1459</v>
      </c>
      <c r="B203" s="205" t="s">
        <v>1083</v>
      </c>
      <c r="C203" s="246">
        <v>0.05</v>
      </c>
      <c r="D203" s="246"/>
      <c r="E203" s="246"/>
      <c r="F203" s="275">
        <f t="shared" si="7"/>
        <v>0.05</v>
      </c>
      <c r="G203" s="276">
        <f t="shared" si="6"/>
        <v>0</v>
      </c>
    </row>
    <row r="204" spans="1:7" s="277" customFormat="1" ht="19.5" customHeight="1">
      <c r="A204" s="315" t="s">
        <v>1460</v>
      </c>
      <c r="B204" s="274" t="s">
        <v>900</v>
      </c>
      <c r="C204" s="246">
        <v>200</v>
      </c>
      <c r="D204" s="246">
        <v>200</v>
      </c>
      <c r="E204" s="246">
        <v>200</v>
      </c>
      <c r="F204" s="275">
        <f t="shared" si="7"/>
        <v>0</v>
      </c>
      <c r="G204" s="276">
        <f t="shared" si="6"/>
        <v>100</v>
      </c>
    </row>
    <row r="205" spans="1:7" s="277" customFormat="1" ht="19.5" customHeight="1">
      <c r="A205" s="315" t="s">
        <v>1461</v>
      </c>
      <c r="B205" s="274" t="s">
        <v>900</v>
      </c>
      <c r="C205" s="246">
        <v>60</v>
      </c>
      <c r="D205" s="246">
        <v>0</v>
      </c>
      <c r="E205" s="246">
        <v>0</v>
      </c>
      <c r="F205" s="275">
        <f t="shared" si="7"/>
        <v>60</v>
      </c>
      <c r="G205" s="276">
        <f t="shared" si="6"/>
        <v>0</v>
      </c>
    </row>
    <row r="206" spans="1:7" s="250" customFormat="1" ht="19.5" customHeight="1">
      <c r="A206" s="315" t="s">
        <v>1462</v>
      </c>
      <c r="B206" s="247" t="s">
        <v>900</v>
      </c>
      <c r="C206" s="248">
        <v>-60</v>
      </c>
      <c r="D206" s="248">
        <v>0</v>
      </c>
      <c r="E206" s="248">
        <v>0</v>
      </c>
      <c r="F206" s="275">
        <f t="shared" si="7"/>
        <v>-60</v>
      </c>
      <c r="G206" s="249">
        <f t="shared" si="6"/>
        <v>0</v>
      </c>
    </row>
    <row r="207" spans="1:7" s="277" customFormat="1" ht="19.5" customHeight="1">
      <c r="A207" s="315" t="s">
        <v>1463</v>
      </c>
      <c r="B207" s="274" t="s">
        <v>900</v>
      </c>
      <c r="C207" s="246">
        <v>324</v>
      </c>
      <c r="D207" s="246">
        <v>324</v>
      </c>
      <c r="E207" s="246">
        <v>0</v>
      </c>
      <c r="F207" s="275">
        <f t="shared" si="7"/>
        <v>324</v>
      </c>
      <c r="G207" s="276">
        <f t="shared" si="6"/>
        <v>100</v>
      </c>
    </row>
    <row r="208" spans="1:7" s="277" customFormat="1" ht="19.5" customHeight="1">
      <c r="A208" s="315" t="s">
        <v>1464</v>
      </c>
      <c r="B208" s="274" t="s">
        <v>900</v>
      </c>
      <c r="C208" s="246">
        <v>60</v>
      </c>
      <c r="D208" s="246">
        <v>0</v>
      </c>
      <c r="E208" s="246">
        <v>0</v>
      </c>
      <c r="F208" s="275">
        <f t="shared" si="7"/>
        <v>60</v>
      </c>
      <c r="G208" s="276">
        <f t="shared" si="6"/>
        <v>0</v>
      </c>
    </row>
    <row r="209" spans="1:7" s="277" customFormat="1" ht="19.5" customHeight="1">
      <c r="A209" s="315" t="s">
        <v>1465</v>
      </c>
      <c r="B209" s="274" t="s">
        <v>900</v>
      </c>
      <c r="C209" s="246">
        <v>52</v>
      </c>
      <c r="D209" s="246"/>
      <c r="E209" s="246"/>
      <c r="F209" s="275">
        <f t="shared" si="7"/>
        <v>52</v>
      </c>
      <c r="G209" s="276">
        <f t="shared" si="6"/>
        <v>0</v>
      </c>
    </row>
    <row r="210" spans="1:7" ht="15">
      <c r="A210" s="315" t="s">
        <v>1466</v>
      </c>
      <c r="B210" s="274" t="s">
        <v>1275</v>
      </c>
      <c r="C210" s="246">
        <v>-17.5</v>
      </c>
      <c r="D210" s="246">
        <v>-17.5</v>
      </c>
      <c r="E210" s="246">
        <v>-17.5</v>
      </c>
      <c r="F210" s="275">
        <f t="shared" si="7"/>
        <v>0</v>
      </c>
      <c r="G210" s="276">
        <f>D210/C210*100</f>
        <v>100</v>
      </c>
    </row>
    <row r="211" spans="1:7" ht="15">
      <c r="A211" s="315" t="s">
        <v>1467</v>
      </c>
      <c r="B211" s="274" t="s">
        <v>1275</v>
      </c>
      <c r="C211" s="246">
        <v>-50</v>
      </c>
      <c r="D211" s="246">
        <v>-50</v>
      </c>
      <c r="E211" s="246">
        <v>-50</v>
      </c>
      <c r="F211" s="275">
        <f t="shared" si="7"/>
        <v>0</v>
      </c>
      <c r="G211" s="276">
        <f>D211/C211*100</f>
        <v>100</v>
      </c>
    </row>
    <row r="212" spans="1:7" ht="15">
      <c r="A212" s="315" t="s">
        <v>1468</v>
      </c>
      <c r="B212" s="274" t="s">
        <v>1275</v>
      </c>
      <c r="C212" s="246">
        <v>-10</v>
      </c>
      <c r="D212" s="246">
        <v>-10</v>
      </c>
      <c r="E212" s="246">
        <v>-10</v>
      </c>
      <c r="F212" s="275">
        <f t="shared" si="7"/>
        <v>0</v>
      </c>
      <c r="G212" s="276">
        <f>D212/C212*100</f>
        <v>100</v>
      </c>
    </row>
    <row r="213" spans="1:7" s="277" customFormat="1" ht="19.5" customHeight="1">
      <c r="A213" s="315" t="s">
        <v>1469</v>
      </c>
      <c r="B213" s="274" t="s">
        <v>901</v>
      </c>
      <c r="C213" s="246">
        <v>150</v>
      </c>
      <c r="D213" s="246">
        <v>150</v>
      </c>
      <c r="E213" s="246">
        <v>0</v>
      </c>
      <c r="F213" s="275">
        <f t="shared" si="7"/>
        <v>150</v>
      </c>
      <c r="G213" s="276">
        <f t="shared" si="6"/>
        <v>100</v>
      </c>
    </row>
    <row r="214" spans="1:7" s="277" customFormat="1" ht="19.5" customHeight="1">
      <c r="A214" s="315" t="s">
        <v>1470</v>
      </c>
      <c r="B214" s="206" t="s">
        <v>1084</v>
      </c>
      <c r="C214" s="244">
        <v>2604.94</v>
      </c>
      <c r="D214" s="246"/>
      <c r="E214" s="246"/>
      <c r="F214" s="275">
        <f t="shared" si="7"/>
        <v>2604.94</v>
      </c>
      <c r="G214" s="276">
        <f t="shared" si="6"/>
        <v>0</v>
      </c>
    </row>
    <row r="215" spans="1:7" ht="21.75" customHeight="1">
      <c r="A215" s="295" t="s">
        <v>1296</v>
      </c>
      <c r="B215" s="296"/>
      <c r="C215" s="297">
        <f>SUM(C216:C257)</f>
        <v>6067.3</v>
      </c>
      <c r="D215" s="297">
        <f>SUM(D216:D257)</f>
        <v>2670.44</v>
      </c>
      <c r="E215" s="297">
        <f>SUM(E216:E257)</f>
        <v>2520.44</v>
      </c>
      <c r="F215" s="292">
        <f t="shared" si="7"/>
        <v>3546.86</v>
      </c>
      <c r="G215" s="276">
        <f>D215/C215*100</f>
        <v>44.01</v>
      </c>
    </row>
    <row r="216" spans="1:7" ht="21" customHeight="1">
      <c r="A216" s="273" t="s">
        <v>902</v>
      </c>
      <c r="B216" s="274" t="s">
        <v>903</v>
      </c>
      <c r="C216" s="298">
        <v>385.1</v>
      </c>
      <c r="D216" s="298">
        <v>385.1</v>
      </c>
      <c r="E216" s="298">
        <v>385.1</v>
      </c>
      <c r="F216" s="275">
        <f t="shared" si="7"/>
        <v>0</v>
      </c>
      <c r="G216" s="276">
        <f>D216/C216*100</f>
        <v>100</v>
      </c>
    </row>
    <row r="217" spans="1:7" ht="19.5" customHeight="1">
      <c r="A217" s="273" t="s">
        <v>904</v>
      </c>
      <c r="B217" s="274" t="s">
        <v>905</v>
      </c>
      <c r="C217" s="298">
        <v>150</v>
      </c>
      <c r="D217" s="298">
        <v>150</v>
      </c>
      <c r="E217" s="298">
        <v>0</v>
      </c>
      <c r="F217" s="275">
        <f t="shared" si="7"/>
        <v>150</v>
      </c>
      <c r="G217" s="276">
        <f>D217/C217*100</f>
        <v>100</v>
      </c>
    </row>
    <row r="218" spans="1:7" ht="19.5" customHeight="1">
      <c r="A218" s="273" t="s">
        <v>906</v>
      </c>
      <c r="B218" s="274" t="s">
        <v>907</v>
      </c>
      <c r="C218" s="298">
        <v>8.4</v>
      </c>
      <c r="D218" s="298">
        <v>0</v>
      </c>
      <c r="E218" s="298">
        <v>0</v>
      </c>
      <c r="F218" s="275">
        <f t="shared" si="7"/>
        <v>8.4</v>
      </c>
      <c r="G218" s="276">
        <f aca="true" t="shared" si="8" ref="G218:G256">D218/C218*100</f>
        <v>0</v>
      </c>
    </row>
    <row r="219" spans="1:7" ht="19.5" customHeight="1">
      <c r="A219" s="273" t="s">
        <v>908</v>
      </c>
      <c r="B219" s="274" t="s">
        <v>909</v>
      </c>
      <c r="C219" s="298">
        <v>20</v>
      </c>
      <c r="D219" s="298">
        <v>20</v>
      </c>
      <c r="E219" s="298">
        <v>20</v>
      </c>
      <c r="F219" s="275">
        <f t="shared" si="7"/>
        <v>0</v>
      </c>
      <c r="G219" s="276">
        <f t="shared" si="8"/>
        <v>100</v>
      </c>
    </row>
    <row r="220" spans="1:7" ht="19.5" customHeight="1">
      <c r="A220" s="273" t="s">
        <v>910</v>
      </c>
      <c r="B220" s="274" t="s">
        <v>909</v>
      </c>
      <c r="C220" s="298">
        <v>54.5</v>
      </c>
      <c r="D220" s="298">
        <v>0</v>
      </c>
      <c r="E220" s="298">
        <v>0</v>
      </c>
      <c r="F220" s="275">
        <f t="shared" si="7"/>
        <v>54.5</v>
      </c>
      <c r="G220" s="276">
        <f t="shared" si="8"/>
        <v>0</v>
      </c>
    </row>
    <row r="221" spans="1:7" ht="19.5" customHeight="1">
      <c r="A221" s="273" t="s">
        <v>911</v>
      </c>
      <c r="B221" s="274" t="s">
        <v>912</v>
      </c>
      <c r="C221" s="298">
        <v>45</v>
      </c>
      <c r="D221" s="298">
        <v>45</v>
      </c>
      <c r="E221" s="298">
        <v>45</v>
      </c>
      <c r="F221" s="275">
        <f t="shared" si="7"/>
        <v>0</v>
      </c>
      <c r="G221" s="276">
        <f t="shared" si="8"/>
        <v>100</v>
      </c>
    </row>
    <row r="222" spans="1:7" ht="19.5" customHeight="1">
      <c r="A222" s="273" t="s">
        <v>913</v>
      </c>
      <c r="B222" s="274" t="s">
        <v>914</v>
      </c>
      <c r="C222" s="298">
        <v>50</v>
      </c>
      <c r="D222" s="298">
        <v>50</v>
      </c>
      <c r="E222" s="298">
        <v>50</v>
      </c>
      <c r="F222" s="275">
        <f t="shared" si="7"/>
        <v>0</v>
      </c>
      <c r="G222" s="276">
        <f t="shared" si="8"/>
        <v>100</v>
      </c>
    </row>
    <row r="223" spans="1:7" ht="19.5" customHeight="1">
      <c r="A223" s="273" t="s">
        <v>915</v>
      </c>
      <c r="B223" s="274" t="s">
        <v>914</v>
      </c>
      <c r="C223" s="298">
        <v>65</v>
      </c>
      <c r="D223" s="299">
        <v>46.86</v>
      </c>
      <c r="E223" s="299">
        <v>46.86</v>
      </c>
      <c r="F223" s="275">
        <f t="shared" si="7"/>
        <v>18.14</v>
      </c>
      <c r="G223" s="276">
        <f t="shared" si="8"/>
        <v>72.09</v>
      </c>
    </row>
    <row r="224" spans="1:7" ht="19.5" customHeight="1">
      <c r="A224" s="273" t="s">
        <v>916</v>
      </c>
      <c r="B224" s="274" t="s">
        <v>917</v>
      </c>
      <c r="C224" s="298">
        <v>65</v>
      </c>
      <c r="D224" s="298">
        <v>0</v>
      </c>
      <c r="E224" s="298">
        <v>0</v>
      </c>
      <c r="F224" s="275">
        <f t="shared" si="7"/>
        <v>65</v>
      </c>
      <c r="G224" s="276">
        <f t="shared" si="8"/>
        <v>0</v>
      </c>
    </row>
    <row r="225" spans="1:7" ht="19.5" customHeight="1">
      <c r="A225" s="273" t="s">
        <v>918</v>
      </c>
      <c r="B225" s="274" t="s">
        <v>919</v>
      </c>
      <c r="C225" s="298">
        <v>14.6</v>
      </c>
      <c r="D225" s="298">
        <v>14.6</v>
      </c>
      <c r="E225" s="298">
        <v>14.6</v>
      </c>
      <c r="F225" s="275">
        <f t="shared" si="7"/>
        <v>0</v>
      </c>
      <c r="G225" s="276">
        <f t="shared" si="8"/>
        <v>100</v>
      </c>
    </row>
    <row r="226" spans="1:7" ht="19.5" customHeight="1">
      <c r="A226" s="273" t="s">
        <v>920</v>
      </c>
      <c r="B226" s="274" t="s">
        <v>921</v>
      </c>
      <c r="C226" s="298">
        <v>4.3</v>
      </c>
      <c r="D226" s="298">
        <v>0</v>
      </c>
      <c r="E226" s="298">
        <v>0</v>
      </c>
      <c r="F226" s="275">
        <f t="shared" si="7"/>
        <v>4.3</v>
      </c>
      <c r="G226" s="276">
        <f t="shared" si="8"/>
        <v>0</v>
      </c>
    </row>
    <row r="227" spans="1:7" ht="19.5" customHeight="1">
      <c r="A227" s="273" t="s">
        <v>922</v>
      </c>
      <c r="B227" s="274" t="s">
        <v>923</v>
      </c>
      <c r="C227" s="298">
        <v>53.1</v>
      </c>
      <c r="D227" s="298">
        <v>53.1</v>
      </c>
      <c r="E227" s="298">
        <v>53.1</v>
      </c>
      <c r="F227" s="275">
        <f t="shared" si="7"/>
        <v>0</v>
      </c>
      <c r="G227" s="276">
        <f t="shared" si="8"/>
        <v>100</v>
      </c>
    </row>
    <row r="228" spans="1:7" ht="19.5" customHeight="1">
      <c r="A228" s="273" t="s">
        <v>924</v>
      </c>
      <c r="B228" s="274" t="s">
        <v>923</v>
      </c>
      <c r="C228" s="298">
        <v>61.2</v>
      </c>
      <c r="D228" s="298">
        <v>0</v>
      </c>
      <c r="E228" s="298">
        <v>0</v>
      </c>
      <c r="F228" s="275">
        <f t="shared" si="7"/>
        <v>61.2</v>
      </c>
      <c r="G228" s="276">
        <f t="shared" si="8"/>
        <v>0</v>
      </c>
    </row>
    <row r="229" spans="1:7" ht="19.5" customHeight="1">
      <c r="A229" s="273" t="s">
        <v>925</v>
      </c>
      <c r="B229" s="274" t="s">
        <v>926</v>
      </c>
      <c r="C229" s="298">
        <v>3</v>
      </c>
      <c r="D229" s="298">
        <v>0</v>
      </c>
      <c r="E229" s="298">
        <v>0</v>
      </c>
      <c r="F229" s="275">
        <f t="shared" si="7"/>
        <v>3</v>
      </c>
      <c r="G229" s="276">
        <f t="shared" si="8"/>
        <v>0</v>
      </c>
    </row>
    <row r="230" spans="1:7" ht="19.5" customHeight="1">
      <c r="A230" s="273" t="s">
        <v>927</v>
      </c>
      <c r="B230" s="274" t="s">
        <v>926</v>
      </c>
      <c r="C230" s="298">
        <v>16</v>
      </c>
      <c r="D230" s="298">
        <v>0</v>
      </c>
      <c r="E230" s="298">
        <v>0</v>
      </c>
      <c r="F230" s="275">
        <f t="shared" si="7"/>
        <v>16</v>
      </c>
      <c r="G230" s="276">
        <f t="shared" si="8"/>
        <v>0</v>
      </c>
    </row>
    <row r="231" spans="1:7" ht="19.5" customHeight="1">
      <c r="A231" s="273" t="s">
        <v>928</v>
      </c>
      <c r="B231" s="274" t="s">
        <v>926</v>
      </c>
      <c r="C231" s="298">
        <v>50</v>
      </c>
      <c r="D231" s="298">
        <v>0</v>
      </c>
      <c r="E231" s="298">
        <v>0</v>
      </c>
      <c r="F231" s="275">
        <f t="shared" si="7"/>
        <v>50</v>
      </c>
      <c r="G231" s="276">
        <f t="shared" si="8"/>
        <v>0</v>
      </c>
    </row>
    <row r="232" spans="1:7" ht="19.5" customHeight="1">
      <c r="A232" s="273" t="s">
        <v>929</v>
      </c>
      <c r="B232" s="274" t="s">
        <v>926</v>
      </c>
      <c r="C232" s="298">
        <v>114</v>
      </c>
      <c r="D232" s="298">
        <v>0</v>
      </c>
      <c r="E232" s="298">
        <v>0</v>
      </c>
      <c r="F232" s="275">
        <f t="shared" si="7"/>
        <v>114</v>
      </c>
      <c r="G232" s="276">
        <f t="shared" si="8"/>
        <v>0</v>
      </c>
    </row>
    <row r="233" spans="1:7" ht="19.5" customHeight="1">
      <c r="A233" s="273" t="s">
        <v>930</v>
      </c>
      <c r="B233" s="274" t="s">
        <v>926</v>
      </c>
      <c r="C233" s="298">
        <v>331</v>
      </c>
      <c r="D233" s="298">
        <v>270.53</v>
      </c>
      <c r="E233" s="298">
        <v>270.53</v>
      </c>
      <c r="F233" s="275">
        <f t="shared" si="7"/>
        <v>60.47</v>
      </c>
      <c r="G233" s="276">
        <f t="shared" si="8"/>
        <v>81.73</v>
      </c>
    </row>
    <row r="234" spans="1:7" ht="19.5" customHeight="1">
      <c r="A234" s="273" t="s">
        <v>931</v>
      </c>
      <c r="B234" s="274" t="s">
        <v>926</v>
      </c>
      <c r="C234" s="298">
        <v>500</v>
      </c>
      <c r="D234" s="298">
        <v>500</v>
      </c>
      <c r="E234" s="298">
        <v>500</v>
      </c>
      <c r="F234" s="275">
        <f t="shared" si="7"/>
        <v>0</v>
      </c>
      <c r="G234" s="276">
        <f t="shared" si="8"/>
        <v>100</v>
      </c>
    </row>
    <row r="235" spans="1:7" ht="19.5" customHeight="1">
      <c r="A235" s="273" t="s">
        <v>1088</v>
      </c>
      <c r="B235" s="274" t="s">
        <v>926</v>
      </c>
      <c r="C235" s="298">
        <v>50</v>
      </c>
      <c r="D235" s="298"/>
      <c r="E235" s="298"/>
      <c r="F235" s="275">
        <f t="shared" si="7"/>
        <v>50</v>
      </c>
      <c r="G235" s="276">
        <f t="shared" si="8"/>
        <v>0</v>
      </c>
    </row>
    <row r="236" spans="1:7" ht="19.5" customHeight="1">
      <c r="A236" s="273" t="s">
        <v>932</v>
      </c>
      <c r="B236" s="274" t="s">
        <v>933</v>
      </c>
      <c r="C236" s="298">
        <v>1.8</v>
      </c>
      <c r="D236" s="298">
        <v>1.8</v>
      </c>
      <c r="E236" s="298">
        <v>1.8</v>
      </c>
      <c r="F236" s="275">
        <f t="shared" si="7"/>
        <v>0</v>
      </c>
      <c r="G236" s="276">
        <f t="shared" si="8"/>
        <v>100</v>
      </c>
    </row>
    <row r="237" spans="1:7" ht="19.5" customHeight="1">
      <c r="A237" s="273" t="s">
        <v>934</v>
      </c>
      <c r="B237" s="274" t="s">
        <v>933</v>
      </c>
      <c r="C237" s="298">
        <v>10</v>
      </c>
      <c r="D237" s="298">
        <v>0</v>
      </c>
      <c r="E237" s="298">
        <v>0</v>
      </c>
      <c r="F237" s="275">
        <f aca="true" t="shared" si="9" ref="F237:F256">C237-E237</f>
        <v>10</v>
      </c>
      <c r="G237" s="276">
        <f t="shared" si="8"/>
        <v>0</v>
      </c>
    </row>
    <row r="238" spans="1:7" ht="19.5" customHeight="1">
      <c r="A238" s="273" t="s">
        <v>935</v>
      </c>
      <c r="B238" s="274" t="s">
        <v>936</v>
      </c>
      <c r="C238" s="298">
        <v>2000</v>
      </c>
      <c r="D238" s="298">
        <v>0</v>
      </c>
      <c r="E238" s="298">
        <v>0</v>
      </c>
      <c r="F238" s="275">
        <f t="shared" si="9"/>
        <v>2000</v>
      </c>
      <c r="G238" s="276">
        <f t="shared" si="8"/>
        <v>0</v>
      </c>
    </row>
    <row r="239" spans="1:7" ht="19.5" customHeight="1">
      <c r="A239" s="273" t="s">
        <v>937</v>
      </c>
      <c r="B239" s="274" t="s">
        <v>938</v>
      </c>
      <c r="C239" s="298">
        <v>100</v>
      </c>
      <c r="D239" s="298">
        <v>0</v>
      </c>
      <c r="E239" s="298">
        <v>0</v>
      </c>
      <c r="F239" s="275">
        <f t="shared" si="9"/>
        <v>100</v>
      </c>
      <c r="G239" s="276">
        <f t="shared" si="8"/>
        <v>0</v>
      </c>
    </row>
    <row r="240" spans="1:7" ht="19.5" customHeight="1">
      <c r="A240" s="273" t="s">
        <v>939</v>
      </c>
      <c r="B240" s="274" t="s">
        <v>938</v>
      </c>
      <c r="C240" s="298">
        <v>290</v>
      </c>
      <c r="D240" s="298">
        <v>0</v>
      </c>
      <c r="E240" s="298">
        <v>0</v>
      </c>
      <c r="F240" s="275">
        <f t="shared" si="9"/>
        <v>290</v>
      </c>
      <c r="G240" s="276">
        <f t="shared" si="8"/>
        <v>0</v>
      </c>
    </row>
    <row r="241" spans="1:7" ht="19.5" customHeight="1">
      <c r="A241" s="273" t="s">
        <v>940</v>
      </c>
      <c r="B241" s="274" t="s">
        <v>941</v>
      </c>
      <c r="C241" s="298">
        <v>93</v>
      </c>
      <c r="D241" s="298">
        <v>93</v>
      </c>
      <c r="E241" s="298">
        <v>93</v>
      </c>
      <c r="F241" s="275">
        <f t="shared" si="9"/>
        <v>0</v>
      </c>
      <c r="G241" s="276">
        <f t="shared" si="8"/>
        <v>100</v>
      </c>
    </row>
    <row r="242" spans="1:7" ht="19.5" customHeight="1">
      <c r="A242" s="273" t="s">
        <v>942</v>
      </c>
      <c r="B242" s="274" t="s">
        <v>943</v>
      </c>
      <c r="C242" s="298">
        <v>299.3</v>
      </c>
      <c r="D242" s="298">
        <v>299.3</v>
      </c>
      <c r="E242" s="298">
        <v>299.3</v>
      </c>
      <c r="F242" s="275">
        <f t="shared" si="9"/>
        <v>0</v>
      </c>
      <c r="G242" s="276">
        <f t="shared" si="8"/>
        <v>100</v>
      </c>
    </row>
    <row r="243" spans="1:7" ht="19.5" customHeight="1">
      <c r="A243" s="273" t="s">
        <v>944</v>
      </c>
      <c r="B243" s="274" t="s">
        <v>945</v>
      </c>
      <c r="C243" s="298">
        <v>2</v>
      </c>
      <c r="D243" s="298">
        <v>0</v>
      </c>
      <c r="E243" s="298">
        <v>0</v>
      </c>
      <c r="F243" s="275">
        <f t="shared" si="9"/>
        <v>2</v>
      </c>
      <c r="G243" s="276">
        <f t="shared" si="8"/>
        <v>0</v>
      </c>
    </row>
    <row r="244" spans="1:7" ht="19.5" customHeight="1">
      <c r="A244" s="273" t="s">
        <v>946</v>
      </c>
      <c r="B244" s="274" t="s">
        <v>945</v>
      </c>
      <c r="C244" s="298">
        <v>14</v>
      </c>
      <c r="D244" s="298">
        <v>14</v>
      </c>
      <c r="E244" s="298">
        <v>14</v>
      </c>
      <c r="F244" s="275">
        <f t="shared" si="9"/>
        <v>0</v>
      </c>
      <c r="G244" s="276">
        <f t="shared" si="8"/>
        <v>100</v>
      </c>
    </row>
    <row r="245" spans="1:7" ht="19.5" customHeight="1">
      <c r="A245" s="273" t="s">
        <v>947</v>
      </c>
      <c r="B245" s="274" t="s">
        <v>948</v>
      </c>
      <c r="C245" s="298">
        <v>1.5</v>
      </c>
      <c r="D245" s="298">
        <v>0</v>
      </c>
      <c r="E245" s="298">
        <v>0</v>
      </c>
      <c r="F245" s="275">
        <f t="shared" si="9"/>
        <v>1.5</v>
      </c>
      <c r="G245" s="276">
        <f t="shared" si="8"/>
        <v>0</v>
      </c>
    </row>
    <row r="246" spans="1:7" ht="19.5" customHeight="1">
      <c r="A246" s="273" t="s">
        <v>949</v>
      </c>
      <c r="B246" s="274" t="s">
        <v>948</v>
      </c>
      <c r="C246" s="298">
        <v>2</v>
      </c>
      <c r="D246" s="298">
        <v>0</v>
      </c>
      <c r="E246" s="298">
        <v>0</v>
      </c>
      <c r="F246" s="275">
        <f t="shared" si="9"/>
        <v>2</v>
      </c>
      <c r="G246" s="276">
        <f t="shared" si="8"/>
        <v>0</v>
      </c>
    </row>
    <row r="247" spans="1:7" ht="19.5" customHeight="1">
      <c r="A247" s="273" t="s">
        <v>950</v>
      </c>
      <c r="B247" s="274" t="s">
        <v>948</v>
      </c>
      <c r="C247" s="298">
        <v>3</v>
      </c>
      <c r="D247" s="298">
        <v>0</v>
      </c>
      <c r="E247" s="298">
        <v>0</v>
      </c>
      <c r="F247" s="275">
        <f t="shared" si="9"/>
        <v>3</v>
      </c>
      <c r="G247" s="276">
        <f t="shared" si="8"/>
        <v>0</v>
      </c>
    </row>
    <row r="248" spans="1:7" ht="19.5" customHeight="1">
      <c r="A248" s="273" t="s">
        <v>951</v>
      </c>
      <c r="B248" s="274" t="s">
        <v>952</v>
      </c>
      <c r="C248" s="298">
        <v>3.3</v>
      </c>
      <c r="D248" s="298">
        <v>0</v>
      </c>
      <c r="E248" s="298">
        <v>0</v>
      </c>
      <c r="F248" s="275">
        <f t="shared" si="9"/>
        <v>3.3</v>
      </c>
      <c r="G248" s="276">
        <f t="shared" si="8"/>
        <v>0</v>
      </c>
    </row>
    <row r="249" spans="1:7" ht="19.5" customHeight="1">
      <c r="A249" s="273" t="s">
        <v>953</v>
      </c>
      <c r="B249" s="274" t="s">
        <v>952</v>
      </c>
      <c r="C249" s="298">
        <v>10</v>
      </c>
      <c r="D249" s="298">
        <v>0</v>
      </c>
      <c r="E249" s="298">
        <v>0</v>
      </c>
      <c r="F249" s="275">
        <f t="shared" si="9"/>
        <v>10</v>
      </c>
      <c r="G249" s="276">
        <f t="shared" si="8"/>
        <v>0</v>
      </c>
    </row>
    <row r="250" spans="1:7" ht="19.5" customHeight="1">
      <c r="A250" s="273" t="s">
        <v>954</v>
      </c>
      <c r="B250" s="274" t="s">
        <v>952</v>
      </c>
      <c r="C250" s="298">
        <v>43</v>
      </c>
      <c r="D250" s="298">
        <v>0</v>
      </c>
      <c r="E250" s="298">
        <v>0</v>
      </c>
      <c r="F250" s="275">
        <f t="shared" si="9"/>
        <v>43</v>
      </c>
      <c r="G250" s="276">
        <f t="shared" si="8"/>
        <v>0</v>
      </c>
    </row>
    <row r="251" spans="1:7" ht="19.5" customHeight="1">
      <c r="A251" s="273" t="s">
        <v>955</v>
      </c>
      <c r="B251" s="274" t="s">
        <v>956</v>
      </c>
      <c r="C251" s="298">
        <v>41.2</v>
      </c>
      <c r="D251" s="298">
        <v>0</v>
      </c>
      <c r="E251" s="298">
        <v>0</v>
      </c>
      <c r="F251" s="275">
        <f t="shared" si="9"/>
        <v>41.2</v>
      </c>
      <c r="G251" s="276">
        <f t="shared" si="8"/>
        <v>0</v>
      </c>
    </row>
    <row r="252" spans="1:7" ht="19.5" customHeight="1">
      <c r="A252" s="273" t="s">
        <v>955</v>
      </c>
      <c r="B252" s="274" t="s">
        <v>956</v>
      </c>
      <c r="C252" s="298">
        <v>88</v>
      </c>
      <c r="D252" s="298">
        <v>0</v>
      </c>
      <c r="E252" s="298">
        <v>0</v>
      </c>
      <c r="F252" s="275">
        <f t="shared" si="9"/>
        <v>88</v>
      </c>
      <c r="G252" s="276">
        <f t="shared" si="8"/>
        <v>0</v>
      </c>
    </row>
    <row r="253" spans="1:7" ht="19.5" customHeight="1">
      <c r="A253" s="273" t="s">
        <v>957</v>
      </c>
      <c r="B253" s="274" t="s">
        <v>958</v>
      </c>
      <c r="C253" s="298">
        <v>424</v>
      </c>
      <c r="D253" s="298">
        <v>424</v>
      </c>
      <c r="E253" s="298">
        <v>424</v>
      </c>
      <c r="F253" s="275">
        <f t="shared" si="9"/>
        <v>0</v>
      </c>
      <c r="G253" s="276">
        <f t="shared" si="8"/>
        <v>100</v>
      </c>
    </row>
    <row r="254" spans="1:7" ht="19.5" customHeight="1">
      <c r="A254" s="273" t="s">
        <v>1081</v>
      </c>
      <c r="B254" s="207" t="s">
        <v>892</v>
      </c>
      <c r="C254" s="298">
        <v>68</v>
      </c>
      <c r="D254" s="298">
        <v>68</v>
      </c>
      <c r="E254" s="298">
        <v>68</v>
      </c>
      <c r="F254" s="275">
        <f t="shared" si="9"/>
        <v>0</v>
      </c>
      <c r="G254" s="276">
        <f t="shared" si="8"/>
        <v>100</v>
      </c>
    </row>
    <row r="255" spans="1:7" ht="19.5" customHeight="1">
      <c r="A255" s="273" t="s">
        <v>959</v>
      </c>
      <c r="B255" s="274" t="s">
        <v>960</v>
      </c>
      <c r="C255" s="298">
        <v>246</v>
      </c>
      <c r="D255" s="298">
        <v>0</v>
      </c>
      <c r="E255" s="298">
        <v>0</v>
      </c>
      <c r="F255" s="275">
        <f t="shared" si="9"/>
        <v>246</v>
      </c>
      <c r="G255" s="276">
        <f t="shared" si="8"/>
        <v>0</v>
      </c>
    </row>
    <row r="256" spans="1:7" ht="19.5" customHeight="1">
      <c r="A256" s="273" t="s">
        <v>961</v>
      </c>
      <c r="B256" s="274" t="s">
        <v>962</v>
      </c>
      <c r="C256" s="298">
        <v>287</v>
      </c>
      <c r="D256" s="298">
        <v>235.15</v>
      </c>
      <c r="E256" s="298">
        <v>235.15</v>
      </c>
      <c r="F256" s="275">
        <f t="shared" si="9"/>
        <v>51.85</v>
      </c>
      <c r="G256" s="276">
        <f t="shared" si="8"/>
        <v>81.93</v>
      </c>
    </row>
  </sheetData>
  <sheetProtection/>
  <autoFilter ref="A11:G256"/>
  <mergeCells count="6">
    <mergeCell ref="A4:A5"/>
    <mergeCell ref="B4:B5"/>
    <mergeCell ref="C4:E4"/>
    <mergeCell ref="F4:F5"/>
    <mergeCell ref="G4:G5"/>
    <mergeCell ref="A2:G2"/>
  </mergeCells>
  <printOptions horizontalCentered="1"/>
  <pageMargins left="0.35433070866141736" right="0.35433070866141736" top="0.5118110236220472" bottom="0.4724409448818898" header="0.35433070866141736" footer="0.2362204724409449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2017-06-18T11:51:50Z</cp:lastPrinted>
  <dcterms:created xsi:type="dcterms:W3CDTF">1996-12-17T01:32:42Z</dcterms:created>
  <dcterms:modified xsi:type="dcterms:W3CDTF">2018-07-12T07:59:40Z</dcterms:modified>
  <cp:category/>
  <cp:version/>
  <cp:contentType/>
  <cp:contentStatus/>
</cp:coreProperties>
</file>