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8" tabRatio="869" firstSheet="1" activeTab="1"/>
  </bookViews>
  <sheets>
    <sheet name="Macro1" sheetId="1" state="veryHidden" r:id="rId1"/>
    <sheet name="2019年一般预算封皮" sheetId="2" r:id="rId2"/>
    <sheet name="2019年一般公共收入" sheetId="3" r:id="rId3"/>
    <sheet name="2019年全区一般预算支出调整总表" sheetId="4" r:id="rId4"/>
    <sheet name="2019年区本级一般预算支出调整总表-类级科目" sheetId="5" r:id="rId5"/>
    <sheet name="2019年区本级一般预算支出-分项目类级科目" sheetId="6" r:id="rId6"/>
    <sheet name="2019年区本级一般预算支出-分项目项级科目" sheetId="7" r:id="rId7"/>
    <sheet name="2019年镇级支出类级科目" sheetId="8" r:id="rId8"/>
    <sheet name="区本级政府经济分类" sheetId="9" r:id="rId9"/>
    <sheet name="基本支出按政府经济分类" sheetId="10" r:id="rId10"/>
    <sheet name="2019年市对区一般公共预算税收返还和转移支付表" sheetId="11" r:id="rId11"/>
    <sheet name="2019年政府性基金封皮" sheetId="12" r:id="rId12"/>
    <sheet name="2019年政府性基金收入预算" sheetId="13" r:id="rId13"/>
    <sheet name="2019年政府性基金支出类级科目" sheetId="14" r:id="rId14"/>
    <sheet name="区本级2019年政府性基金支出项级科目" sheetId="15" r:id="rId15"/>
    <sheet name="2019年市对区政府性预算转移支付表" sheetId="16" r:id="rId16"/>
    <sheet name="2019年区对镇补助支出表" sheetId="17" r:id="rId17"/>
    <sheet name="2019年债务预计" sheetId="18" r:id="rId18"/>
    <sheet name="2019年新增政府债务项目安排" sheetId="19" r:id="rId19"/>
  </sheets>
  <definedNames>
    <definedName name="_xlnm._FilterDatabase" localSheetId="5" hidden="1">'2019年区本级一般预算支出-分项目类级科目'!$A$5:$H$54</definedName>
    <definedName name="_xlnm._FilterDatabase" localSheetId="6" hidden="1">'2019年区本级一般预算支出-分项目项级科目'!$A$5:$G$712</definedName>
    <definedName name="_xlnm._FilterDatabase" localSheetId="16" hidden="1">'2019年区对镇补助支出表'!$A$5:$D$118</definedName>
    <definedName name="_xlnm.Print_Area" localSheetId="12">'2019年政府性基金收入预算'!$A$1:$F$31</definedName>
    <definedName name="_xlnm.Print_Titles" localSheetId="5">'2019年区本级一般预算支出-分项目类级科目'!$1:$6</definedName>
    <definedName name="_xlnm.Print_Titles" localSheetId="3">'2019年全区一般预算支出调整总表'!$1:$4</definedName>
    <definedName name="_xlnm.Print_Titles" localSheetId="2">'2019年一般公共收入'!$1:$4</definedName>
    <definedName name="_xlnm.Print_Titles" localSheetId="12">'2019年政府性基金收入预算'!$1:$4</definedName>
  </definedNames>
  <calcPr fullCalcOnLoad="1"/>
</workbook>
</file>

<file path=xl/comments11.xml><?xml version="1.0" encoding="utf-8"?>
<comments xmlns="http://schemas.openxmlformats.org/spreadsheetml/2006/main">
  <authors>
    <author>作者</author>
  </authors>
  <commentList>
    <comment ref="C10" authorId="0">
      <text>
        <r>
          <rPr>
            <b/>
            <sz val="9"/>
            <rFont val="宋体"/>
            <family val="0"/>
          </rPr>
          <t>作者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应为</t>
        </r>
        <r>
          <rPr>
            <sz val="9"/>
            <rFont val="Tahoma"/>
            <family val="2"/>
          </rPr>
          <t>83153
84046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5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=13050+4499+320</t>
        </r>
      </text>
    </comment>
    <comment ref="C5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援疆援藏援青海援甘肃</t>
        </r>
      </text>
    </comment>
  </commentList>
</comments>
</file>

<file path=xl/sharedStrings.xml><?xml version="1.0" encoding="utf-8"?>
<sst xmlns="http://schemas.openxmlformats.org/spreadsheetml/2006/main" count="2132" uniqueCount="1377">
  <si>
    <t>天津市北辰区2019年一般公共财政</t>
  </si>
  <si>
    <t>调整预算情况表</t>
  </si>
  <si>
    <t>编制时间：2019年11月12日</t>
  </si>
  <si>
    <t>编制单位：天津市北辰区财政局</t>
  </si>
  <si>
    <t>表一：</t>
  </si>
  <si>
    <t>北辰区2019年一般公共财政收入预算调整情况表</t>
  </si>
  <si>
    <t>单位：万元</t>
  </si>
  <si>
    <t>项目</t>
  </si>
  <si>
    <t>年初预算</t>
  </si>
  <si>
    <t>调整预算</t>
  </si>
  <si>
    <t>完成年初预算</t>
  </si>
  <si>
    <t>2018年调整预算</t>
  </si>
  <si>
    <t>2018年决算</t>
  </si>
  <si>
    <r>
      <t>调整为2018</t>
    </r>
    <r>
      <rPr>
        <b/>
        <sz val="12"/>
        <rFont val="宋体"/>
        <family val="0"/>
      </rPr>
      <t>年调整预算%</t>
    </r>
  </si>
  <si>
    <t>一般预算收入</t>
  </si>
  <si>
    <t>(一)税收收入</t>
  </si>
  <si>
    <t>1、增值税</t>
  </si>
  <si>
    <t>2、营业税</t>
  </si>
  <si>
    <t>3、企业所得税</t>
  </si>
  <si>
    <t>4、个人所得税</t>
  </si>
  <si>
    <t>5、资源税</t>
  </si>
  <si>
    <t>6、城市维护建设税</t>
  </si>
  <si>
    <t>7、房产税</t>
  </si>
  <si>
    <t>8、印花税</t>
  </si>
  <si>
    <t>9、城镇土地使用税</t>
  </si>
  <si>
    <t>10、土地增值税</t>
  </si>
  <si>
    <t>11、车船税</t>
  </si>
  <si>
    <t>12、耕地占用税</t>
  </si>
  <si>
    <t>13、契税</t>
  </si>
  <si>
    <t>14、环境保护税</t>
  </si>
  <si>
    <t>(二)非税收入</t>
  </si>
  <si>
    <t>1、专项收入</t>
  </si>
  <si>
    <t>排污费收入</t>
  </si>
  <si>
    <t>教育费附加收入</t>
  </si>
  <si>
    <t>地方教育费附加</t>
  </si>
  <si>
    <t>残疾人保障金收入</t>
  </si>
  <si>
    <t>教育资金收入</t>
  </si>
  <si>
    <t>农田水利建设资金收入</t>
  </si>
  <si>
    <t>保障性安居工程资金收入</t>
  </si>
  <si>
    <t>育林基金收入</t>
  </si>
  <si>
    <t>森林植被恢复费</t>
  </si>
  <si>
    <t>2、行政事业性收费收入</t>
  </si>
  <si>
    <t>3、罚没收入</t>
  </si>
  <si>
    <t>4、国有资本经营收入</t>
  </si>
  <si>
    <t>5、国有资产有偿使用</t>
  </si>
  <si>
    <t>6、其他收入</t>
  </si>
  <si>
    <t>另：税收比%</t>
  </si>
  <si>
    <t>一、各项财力收入</t>
  </si>
  <si>
    <t>加：1、市体制税收返还收入等</t>
  </si>
  <si>
    <t xml:space="preserve">    2、市级转移支付收入</t>
  </si>
  <si>
    <t xml:space="preserve">    3、上年结转结余收入（区本级）</t>
  </si>
  <si>
    <t xml:space="preserve">    4、预算周转金（区本级）</t>
  </si>
  <si>
    <t xml:space="preserve">    5、营改增政策基数补助</t>
  </si>
  <si>
    <t xml:space="preserve">    6、调入资金</t>
  </si>
  <si>
    <t>政府性基金百分之三十调入</t>
  </si>
  <si>
    <t>调入债券利息发行费</t>
  </si>
  <si>
    <t>盘活存量资金</t>
  </si>
  <si>
    <t xml:space="preserve">    7、动用预算稳定调节基金（区本级）</t>
  </si>
  <si>
    <t>二、上解支出（减项）</t>
  </si>
  <si>
    <t>1、体制上解支出</t>
  </si>
  <si>
    <t>2、出口退税基数</t>
  </si>
  <si>
    <t>3、对口支援专项</t>
  </si>
  <si>
    <t>4、“三代”及耕占、契税手续费</t>
  </si>
  <si>
    <t>5、市财政垫付专项</t>
  </si>
  <si>
    <t>区级公共财政收入总量</t>
  </si>
  <si>
    <t>一般债券转贷收入</t>
  </si>
  <si>
    <t>一般债券再融资</t>
  </si>
  <si>
    <t>总计</t>
  </si>
  <si>
    <t>上年末镇级结转结余</t>
  </si>
  <si>
    <t>各镇调入部门盘活资金</t>
  </si>
  <si>
    <t>上年末镇级预算稳定调节基金</t>
  </si>
  <si>
    <t>全区综合财力</t>
  </si>
  <si>
    <t>表二：</t>
  </si>
  <si>
    <t>北辰区2019年一般公共财政支出调整预算预计执行情况表</t>
  </si>
  <si>
    <t>预算科目</t>
  </si>
  <si>
    <t>预计执行预算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</si>
  <si>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年决算</t>
    </r>
  </si>
  <si>
    <t>预计执行完成年初预算%</t>
  </si>
  <si>
    <t>预计执行完成   调整预算%</t>
  </si>
  <si>
    <r>
      <t>预计执行为201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年决算%</t>
    </r>
  </si>
  <si>
    <t>合计</t>
  </si>
  <si>
    <t>一般预算支出小计</t>
  </si>
  <si>
    <t xml:space="preserve">  201 一般公共服务支出</t>
  </si>
  <si>
    <t xml:space="preserve">  204 公共安全支出</t>
  </si>
  <si>
    <t xml:space="preserve">  205 教育支出</t>
  </si>
  <si>
    <t xml:space="preserve">  206 科学技术支出</t>
  </si>
  <si>
    <t xml:space="preserve">  207 文化体育与传媒支出</t>
  </si>
  <si>
    <t xml:space="preserve">  208 社会保障和就业支出</t>
  </si>
  <si>
    <t xml:space="preserve">  210 医疗卫生与计划生育支出</t>
  </si>
  <si>
    <t xml:space="preserve">  211 节能环保支出</t>
  </si>
  <si>
    <t xml:space="preserve">  212 城乡社区支出</t>
  </si>
  <si>
    <t xml:space="preserve">  213 农林水支出</t>
  </si>
  <si>
    <t xml:space="preserve">  214 交通运输支出</t>
  </si>
  <si>
    <t xml:space="preserve">  215 资源勘探电力信息等支出</t>
  </si>
  <si>
    <t xml:space="preserve">  216 商业服务业等支出</t>
  </si>
  <si>
    <t xml:space="preserve">  217 金融支出</t>
  </si>
  <si>
    <t xml:space="preserve">  219 援助其他地区支出</t>
  </si>
  <si>
    <t xml:space="preserve">  220 国土资源气象等支出</t>
  </si>
  <si>
    <t xml:space="preserve">  221 住房保障支出</t>
  </si>
  <si>
    <t xml:space="preserve">  222 粮油物资储备支出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</si>
  <si>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灾害防治及应急管理支出</t>
    </r>
  </si>
  <si>
    <t xml:space="preserve">  227 预备费</t>
  </si>
  <si>
    <t xml:space="preserve">  229 其他支出</t>
  </si>
  <si>
    <t xml:space="preserve">  230 转移性支出</t>
  </si>
  <si>
    <t xml:space="preserve">  232 债务付息支出</t>
  </si>
  <si>
    <t xml:space="preserve">  233 债务发行费用支出</t>
  </si>
  <si>
    <t>债务还本支出小计</t>
  </si>
  <si>
    <t xml:space="preserve">  231 债务还本支出</t>
  </si>
  <si>
    <t>表三：</t>
  </si>
  <si>
    <t>北辰区2019年一般公共财政本级支出调整预计执行情况表</t>
  </si>
  <si>
    <t>预计执行</t>
  </si>
  <si>
    <t>其中：债务转贷收入</t>
  </si>
  <si>
    <t>完成年初预算%</t>
  </si>
  <si>
    <t>预计执行为调整预算%</t>
  </si>
  <si>
    <r>
      <t xml:space="preserve">  224</t>
    </r>
    <r>
      <rPr>
        <sz val="12"/>
        <rFont val="宋体"/>
        <family val="0"/>
      </rPr>
      <t xml:space="preserve"> 灾害防治及应急管理支出</t>
    </r>
  </si>
  <si>
    <t>备注：开发区作为一级财政管理</t>
  </si>
  <si>
    <t>表四：</t>
  </si>
  <si>
    <t>北辰区2019年一般公共财政本级支出调整预计执行情况表（分项目类级科目）</t>
  </si>
  <si>
    <t>预计执行数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</si>
  <si>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年决算支出</t>
    </r>
  </si>
  <si>
    <t>完成调整预算%</t>
  </si>
  <si>
    <r>
      <t>执行为201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年决算%</t>
    </r>
  </si>
  <si>
    <t>一般预算支出</t>
  </si>
  <si>
    <t xml:space="preserve">  一、基本支出预算</t>
  </si>
  <si>
    <t xml:space="preserve">    201 一般公共服务支出</t>
  </si>
  <si>
    <t xml:space="preserve">    204 公共安全支出</t>
  </si>
  <si>
    <t xml:space="preserve">    205 教育支出</t>
  </si>
  <si>
    <t xml:space="preserve">    206 科学技术支出</t>
  </si>
  <si>
    <t xml:space="preserve">    207 文化体育与传媒支出</t>
  </si>
  <si>
    <t xml:space="preserve">    208 社会保障和就业支出</t>
  </si>
  <si>
    <t xml:space="preserve">    210 医疗卫生与计划生育支出</t>
  </si>
  <si>
    <t xml:space="preserve">    211 节能环保支出</t>
  </si>
  <si>
    <t xml:space="preserve">    212 城乡社区支出</t>
  </si>
  <si>
    <t xml:space="preserve">    213 农林水支出</t>
  </si>
  <si>
    <t xml:space="preserve">    214 交通运输支出</t>
  </si>
  <si>
    <t xml:space="preserve">    215 资源勘探信息等支出</t>
  </si>
  <si>
    <t xml:space="preserve">    216 商业服务业等支出</t>
  </si>
  <si>
    <t xml:space="preserve">    220 国土海洋气象等支出</t>
  </si>
  <si>
    <r>
      <t xml:space="preserve">    224</t>
    </r>
    <r>
      <rPr>
        <sz val="12"/>
        <rFont val="宋体"/>
        <family val="0"/>
      </rPr>
      <t xml:space="preserve"> 灾害防治及应急管理支出</t>
    </r>
  </si>
  <si>
    <t xml:space="preserve">    229 其他支出</t>
  </si>
  <si>
    <t xml:space="preserve">  二、项目支出预算</t>
  </si>
  <si>
    <t xml:space="preserve">    217 金融支出</t>
  </si>
  <si>
    <t xml:space="preserve">    219 援助其他地区支出</t>
  </si>
  <si>
    <t xml:space="preserve">    221 住房保障支出</t>
  </si>
  <si>
    <t xml:space="preserve">    222 粮油物资储备支出</t>
  </si>
  <si>
    <t xml:space="preserve">    230 转移性支出</t>
  </si>
  <si>
    <t xml:space="preserve">    232 债务付息支出</t>
  </si>
  <si>
    <t xml:space="preserve">    233 债务发行费用支出</t>
  </si>
  <si>
    <t xml:space="preserve">  四、预备费及周转金</t>
  </si>
  <si>
    <t xml:space="preserve">    227 预备费</t>
  </si>
  <si>
    <t>债务还本支出</t>
  </si>
  <si>
    <t xml:space="preserve">    231 债务还本支出</t>
  </si>
  <si>
    <t>表五：</t>
  </si>
  <si>
    <t>北辰区2019年一般公共财政本级支出调整预计执行情况表（分项目项级科目）</t>
  </si>
  <si>
    <t>预计完成年初预算%</t>
  </si>
  <si>
    <t>预计完成调整预算%</t>
  </si>
  <si>
    <t xml:space="preserve">      20101 人大事务</t>
  </si>
  <si>
    <t xml:space="preserve">        2010101 行政运行</t>
  </si>
  <si>
    <t xml:space="preserve">      20102 政协事务</t>
  </si>
  <si>
    <t xml:space="preserve">        2010201 行政运行</t>
  </si>
  <si>
    <t xml:space="preserve">      20103 政府办公厅（室）及相关机构事务</t>
  </si>
  <si>
    <t xml:space="preserve">        2010301 行政运行</t>
  </si>
  <si>
    <t xml:space="preserve">        2010303 机关服务</t>
  </si>
  <si>
    <t xml:space="preserve">        2010350 事业运行</t>
  </si>
  <si>
    <t xml:space="preserve">      20104 发展与改革事务</t>
  </si>
  <si>
    <t xml:space="preserve">        2010401 行政运行</t>
  </si>
  <si>
    <t xml:space="preserve"> 2010450 事业运行</t>
  </si>
  <si>
    <t xml:space="preserve">      20105 统计信息事务</t>
  </si>
  <si>
    <t xml:space="preserve">        2010501 行政运行</t>
  </si>
  <si>
    <t xml:space="preserve">        2010550 事业运行</t>
  </si>
  <si>
    <t xml:space="preserve">      20106 财政事务</t>
  </si>
  <si>
    <t xml:space="preserve">        2010601 行政运行</t>
  </si>
  <si>
    <t xml:space="preserve">        2010650 事业运行</t>
  </si>
  <si>
    <t xml:space="preserve">      20108 审计事务</t>
  </si>
  <si>
    <t xml:space="preserve">        2010801 行政运行</t>
  </si>
  <si>
    <t xml:space="preserve">        2010850 事业运行</t>
  </si>
  <si>
    <t xml:space="preserve">      20110 人力资源事务</t>
  </si>
  <si>
    <t xml:space="preserve">        2011001 行政运行</t>
  </si>
  <si>
    <t xml:space="preserve">        2011050 事业运行</t>
  </si>
  <si>
    <t xml:space="preserve">      20111 纪检监察事务</t>
  </si>
  <si>
    <t xml:space="preserve">        2011101 行政运行</t>
  </si>
  <si>
    <t xml:space="preserve">      20113 商贸事务</t>
  </si>
  <si>
    <t xml:space="preserve">        2011301 行政运行</t>
  </si>
  <si>
    <t xml:space="preserve">      20126 档案事务</t>
  </si>
  <si>
    <t xml:space="preserve">        2012601 行政运行</t>
  </si>
  <si>
    <t xml:space="preserve">        2012604 档案馆</t>
  </si>
  <si>
    <t xml:space="preserve">      20128 民主党派及工商联事务</t>
  </si>
  <si>
    <t xml:space="preserve">        2012801 行政运行</t>
  </si>
  <si>
    <t xml:space="preserve">      20129 群众团体事务</t>
  </si>
  <si>
    <t xml:space="preserve">        2012901 行政运行</t>
  </si>
  <si>
    <t xml:space="preserve">        2012950 事业运行</t>
  </si>
  <si>
    <t xml:space="preserve">      20131 党委办公厅（室）及相关机构事务</t>
  </si>
  <si>
    <t xml:space="preserve">        2013101 行政运行</t>
  </si>
  <si>
    <t xml:space="preserve">        2013150 事业运行</t>
  </si>
  <si>
    <t xml:space="preserve">      20132 组织事务</t>
  </si>
  <si>
    <t xml:space="preserve"> 2013250 事业运行</t>
  </si>
  <si>
    <t xml:space="preserve">      20138 市场监督管理事务</t>
  </si>
  <si>
    <t xml:space="preserve"> 2013801 行政运行</t>
  </si>
  <si>
    <t xml:space="preserve"> 2013850 事业运行</t>
  </si>
  <si>
    <t xml:space="preserve">      20402 公安</t>
  </si>
  <si>
    <t xml:space="preserve">        2040201 行政运行</t>
  </si>
  <si>
    <t xml:space="preserve">        2040299 其他公安支出</t>
  </si>
  <si>
    <t xml:space="preserve">      20404 检察</t>
  </si>
  <si>
    <t xml:space="preserve">        2040401 行政运行</t>
  </si>
  <si>
    <t xml:space="preserve">      20405 法院</t>
  </si>
  <si>
    <t xml:space="preserve">        2040501 行政运行</t>
  </si>
  <si>
    <t xml:space="preserve">      20406 司法</t>
  </si>
  <si>
    <t xml:space="preserve">        2040601 行政运行</t>
  </si>
  <si>
    <t xml:space="preserve">        2040650 事业运行</t>
  </si>
  <si>
    <t xml:space="preserve">      20501 教育管理事务</t>
  </si>
  <si>
    <t xml:space="preserve">        2050101 行政运行</t>
  </si>
  <si>
    <t xml:space="preserve">      20502 普通教育</t>
  </si>
  <si>
    <t xml:space="preserve">        2050201 学前教育</t>
  </si>
  <si>
    <t xml:space="preserve">        2050202 小学教育</t>
  </si>
  <si>
    <t xml:space="preserve">        2050203 初中教育</t>
  </si>
  <si>
    <t xml:space="preserve">        2050204 高中教育</t>
  </si>
  <si>
    <t xml:space="preserve">        2050299 其他普通教育支出</t>
  </si>
  <si>
    <t xml:space="preserve">      20503 职业教育</t>
  </si>
  <si>
    <t xml:space="preserve">        2050302 中专教育</t>
  </si>
  <si>
    <t xml:space="preserve">      20504 成人教育</t>
  </si>
  <si>
    <t xml:space="preserve">        2050404 成人广播电视教育</t>
  </si>
  <si>
    <t xml:space="preserve">        2050499 其他成人教育支出</t>
  </si>
  <si>
    <t xml:space="preserve">      20507 特殊教育</t>
  </si>
  <si>
    <t xml:space="preserve">        2050701 特殊学校教育</t>
  </si>
  <si>
    <t xml:space="preserve">      20508 进修及培训</t>
  </si>
  <si>
    <t xml:space="preserve">        2050801 教师进修</t>
  </si>
  <si>
    <t xml:space="preserve">        2050802 干部教育</t>
  </si>
  <si>
    <t xml:space="preserve">        2050899 其他进修及培训</t>
  </si>
  <si>
    <t xml:space="preserve">      20601 科学技术管理事务</t>
  </si>
  <si>
    <t xml:space="preserve">        2060101 行政运行</t>
  </si>
  <si>
    <t xml:space="preserve">      20607 科学技术普及</t>
  </si>
  <si>
    <t xml:space="preserve">        2060701 机构运行</t>
  </si>
  <si>
    <t xml:space="preserve">        2060705 科技馆站</t>
  </si>
  <si>
    <t xml:space="preserve">    207 文化旅游体育与传媒支出</t>
  </si>
  <si>
    <t xml:space="preserve">      20701 文化和旅游</t>
  </si>
  <si>
    <t xml:space="preserve">        2070101 行政运行</t>
  </si>
  <si>
    <t xml:space="preserve">        2070104 图书馆</t>
  </si>
  <si>
    <t xml:space="preserve">        2070109 群众文化</t>
  </si>
  <si>
    <t xml:space="preserve">        2070199 其他文化和旅游支出</t>
  </si>
  <si>
    <t xml:space="preserve">      20703 体育</t>
  </si>
  <si>
    <t xml:space="preserve">        2070301 行政运行</t>
  </si>
  <si>
    <t xml:space="preserve">        2070308 群众体育</t>
  </si>
  <si>
    <r>
      <t xml:space="preserve">      20708</t>
    </r>
    <r>
      <rPr>
        <sz val="12"/>
        <rFont val="宋体"/>
        <family val="0"/>
      </rPr>
      <t xml:space="preserve"> 广播电视</t>
    </r>
  </si>
  <si>
    <r>
      <t xml:space="preserve">        2070</t>
    </r>
    <r>
      <rPr>
        <sz val="12"/>
        <rFont val="宋体"/>
        <family val="0"/>
      </rPr>
      <t>8</t>
    </r>
    <r>
      <rPr>
        <sz val="12"/>
        <rFont val="宋体"/>
        <family val="0"/>
      </rPr>
      <t>05 电视</t>
    </r>
  </si>
  <si>
    <t xml:space="preserve">      20801 人力资源和社会保障管理事务</t>
  </si>
  <si>
    <t xml:space="preserve">        2080101 行政运行</t>
  </si>
  <si>
    <t xml:space="preserve">        2080105 劳动保障监察</t>
  </si>
  <si>
    <t xml:space="preserve">        2080110 劳动关系和维权</t>
  </si>
  <si>
    <t xml:space="preserve">        2080111 公共就业服务和职业技能鉴定机构</t>
  </si>
  <si>
    <t xml:space="preserve">      20802 民政管理事务</t>
  </si>
  <si>
    <t xml:space="preserve">        2080201 行政运行</t>
  </si>
  <si>
    <t xml:space="preserve">        2080205 老龄事务</t>
  </si>
  <si>
    <r>
      <t xml:space="preserve">      2080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行政事业单位离退休</t>
    </r>
  </si>
  <si>
    <t xml:space="preserve"> 2080505 机关事业单位基本养老保险缴费支出</t>
  </si>
  <si>
    <t xml:space="preserve"> 2080506 机关事业单位职业年金缴费支出</t>
  </si>
  <si>
    <t xml:space="preserve">      20808 抚恤</t>
  </si>
  <si>
    <t xml:space="preserve">        2080804 优抚事业单位支出</t>
  </si>
  <si>
    <t xml:space="preserve">      20809 退役安置</t>
  </si>
  <si>
    <t xml:space="preserve">        2080903 军队移交政府离退休干部管理机构</t>
  </si>
  <si>
    <t xml:space="preserve">      20810 社会福利</t>
  </si>
  <si>
    <t xml:space="preserve">        2081004 殡葬</t>
  </si>
  <si>
    <t xml:space="preserve">        2081005 社会福利事业单位</t>
  </si>
  <si>
    <t xml:space="preserve">      20811 残疾人事业</t>
  </si>
  <si>
    <t xml:space="preserve">        2081101 行政运行</t>
  </si>
  <si>
    <t xml:space="preserve">        2081199 其他残疾人事业支出</t>
  </si>
  <si>
    <t xml:space="preserve">      20816 红十字事业</t>
  </si>
  <si>
    <t xml:space="preserve">        2081601 行政运行</t>
  </si>
  <si>
    <r>
      <t xml:space="preserve">      208</t>
    </r>
    <r>
      <rPr>
        <sz val="12"/>
        <rFont val="宋体"/>
        <family val="0"/>
      </rPr>
      <t>28</t>
    </r>
    <r>
      <rPr>
        <sz val="12"/>
        <rFont val="宋体"/>
        <family val="0"/>
      </rPr>
      <t xml:space="preserve"> 退役军人管理事务</t>
    </r>
  </si>
  <si>
    <t xml:space="preserve"> 2082801 行政运行</t>
  </si>
  <si>
    <t xml:space="preserve"> 2082850 事业运行</t>
  </si>
  <si>
    <t xml:space="preserve">    210 卫生健康支出</t>
  </si>
  <si>
    <t xml:space="preserve">      21001 卫生健康管理事务</t>
  </si>
  <si>
    <t xml:space="preserve">        2100101 行政运行</t>
  </si>
  <si>
    <t xml:space="preserve">      21002 公立医院</t>
  </si>
  <si>
    <t xml:space="preserve">        2100201 综合医院</t>
  </si>
  <si>
    <t xml:space="preserve">        2100202 中医（民族）医院</t>
  </si>
  <si>
    <t xml:space="preserve">      21003 基层医疗卫生机构</t>
  </si>
  <si>
    <t xml:space="preserve">        2100301 城市社区卫生机构</t>
  </si>
  <si>
    <t xml:space="preserve">        2100302 乡镇卫生院</t>
  </si>
  <si>
    <t xml:space="preserve">      21004 公共卫生</t>
  </si>
  <si>
    <t xml:space="preserve">        2100401 疾病预防控制机构</t>
  </si>
  <si>
    <t xml:space="preserve">        2100402 卫生监督机构</t>
  </si>
  <si>
    <t xml:space="preserve">        2100403 妇幼保健机构</t>
  </si>
  <si>
    <t xml:space="preserve">      21007 计划生育事务</t>
  </si>
  <si>
    <t xml:space="preserve">        2100799 其他计划生育事务支出</t>
  </si>
  <si>
    <t xml:space="preserve">      21011 行政事业单位医疗</t>
  </si>
  <si>
    <t xml:space="preserve">        2101101 行政单位医疗</t>
  </si>
  <si>
    <t xml:space="preserve">        2101102 事业单位医疗</t>
  </si>
  <si>
    <t xml:space="preserve">        2101103 公务员医疗补助</t>
  </si>
  <si>
    <t xml:space="preserve">        2101199 其他行政事业单位医疗支出</t>
  </si>
  <si>
    <r>
      <t xml:space="preserve">      2101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医疗保障管理事务</t>
    </r>
  </si>
  <si>
    <t xml:space="preserve"> 2101501 行政运行</t>
  </si>
  <si>
    <t xml:space="preserve"> 2101550 事业运行</t>
  </si>
  <si>
    <t xml:space="preserve">      21101 环境保护管理事务</t>
  </si>
  <si>
    <t xml:space="preserve">        2110101 行政运行</t>
  </si>
  <si>
    <t xml:space="preserve">      21111 污染减排</t>
  </si>
  <si>
    <t xml:space="preserve">        2111101 生态环境监测与信息</t>
  </si>
  <si>
    <t xml:space="preserve">      21201 城乡社区管理事务</t>
  </si>
  <si>
    <t xml:space="preserve">        2120101 行政运行</t>
  </si>
  <si>
    <t xml:space="preserve">        2120104 城管执法</t>
  </si>
  <si>
    <t xml:space="preserve">        2120199 其他城乡社区管理事务支出</t>
  </si>
  <si>
    <t xml:space="preserve">      21203 城乡社区公共设施</t>
  </si>
  <si>
    <t xml:space="preserve">        2120399 其他城乡社区公共设施支出</t>
  </si>
  <si>
    <t xml:space="preserve">      21205 城乡社区环境卫生</t>
  </si>
  <si>
    <t xml:space="preserve">        2120501 城乡社区环境卫生</t>
  </si>
  <si>
    <t xml:space="preserve">      21301 农业</t>
  </si>
  <si>
    <t xml:space="preserve">        2130101 行政运行</t>
  </si>
  <si>
    <t xml:space="preserve">        2130104 事业运行</t>
  </si>
  <si>
    <t xml:space="preserve">      21302 林业和草原</t>
  </si>
  <si>
    <t xml:space="preserve">        2130204 事业机构</t>
  </si>
  <si>
    <t xml:space="preserve">      21303 水利</t>
  </si>
  <si>
    <t xml:space="preserve">        2130301 行政运行</t>
  </si>
  <si>
    <t xml:space="preserve">        2130306 水利工程运行与维护</t>
  </si>
  <si>
    <t xml:space="preserve">      21401 公路水路运输</t>
  </si>
  <si>
    <t xml:space="preserve">        2140101 行政运行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</si>
  <si>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2140199 其他公路水路运输支出</t>
    </r>
  </si>
  <si>
    <t xml:space="preserve">      21506 安全生产监管</t>
  </si>
  <si>
    <t xml:space="preserve">        2150601 行政运行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</si>
  <si>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21507 国有资产监管</t>
    </r>
  </si>
  <si>
    <t xml:space="preserve">        2150701 行政运行</t>
  </si>
  <si>
    <t xml:space="preserve">      21508 支持中小企业发展和管理支出</t>
  </si>
  <si>
    <t xml:space="preserve">        2150801 行政运行</t>
  </si>
  <si>
    <t xml:space="preserve">        2150899 其他支持中小企业发展和管理支出</t>
  </si>
  <si>
    <t xml:space="preserve">      21602 商业流通事务</t>
  </si>
  <si>
    <t xml:space="preserve">        2160201 行政运行</t>
  </si>
  <si>
    <t xml:space="preserve">    220 自然资源海洋气象等支出</t>
  </si>
  <si>
    <t xml:space="preserve">      22001 自然资源事务</t>
  </si>
  <si>
    <t xml:space="preserve">        2200101 行政运行</t>
  </si>
  <si>
    <t xml:space="preserve">        2200150 事业运行</t>
  </si>
  <si>
    <t xml:space="preserve">      22004 地震事务</t>
  </si>
  <si>
    <t xml:space="preserve">        2200401 行政运行</t>
  </si>
  <si>
    <t xml:space="preserve">      22201 粮油事务</t>
  </si>
  <si>
    <t xml:space="preserve">        2220101 行政运行</t>
  </si>
  <si>
    <t xml:space="preserve">      22202 物资事务</t>
  </si>
  <si>
    <t xml:space="preserve">        2220250 事业运行</t>
  </si>
  <si>
    <t>224 灾害防治及应急管理支出</t>
  </si>
  <si>
    <r>
      <t xml:space="preserve">      22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应急管理事务</t>
    </r>
  </si>
  <si>
    <t>2240101 行政运行</t>
  </si>
  <si>
    <t xml:space="preserve">      22902 年初预留</t>
  </si>
  <si>
    <t>二、项目支出预算</t>
  </si>
  <si>
    <t xml:space="preserve">    20101 人大事务</t>
  </si>
  <si>
    <t xml:space="preserve">      2010102 一般行政管理事务</t>
  </si>
  <si>
    <t xml:space="preserve">      2010104 人大会议</t>
  </si>
  <si>
    <t xml:space="preserve">      2010108 代表工作</t>
  </si>
  <si>
    <t xml:space="preserve">    20102 政协事务</t>
  </si>
  <si>
    <t xml:space="preserve">      2010202 一般行政管理事务</t>
  </si>
  <si>
    <t xml:space="preserve">      2010204 政协会议</t>
  </si>
  <si>
    <t xml:space="preserve">    20103 政府办公厅（室）及相关机构事务</t>
  </si>
  <si>
    <r>
      <t xml:space="preserve">      2010301</t>
    </r>
    <r>
      <rPr>
        <sz val="12"/>
        <rFont val="宋体"/>
        <family val="0"/>
      </rPr>
      <t xml:space="preserve"> 行政运行</t>
    </r>
  </si>
  <si>
    <t xml:space="preserve">      2010302 一般行政管理事务</t>
  </si>
  <si>
    <r>
      <t xml:space="preserve">      201030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机关服务</t>
    </r>
  </si>
  <si>
    <t xml:space="preserve">      2010307 法制建设</t>
  </si>
  <si>
    <t xml:space="preserve">      2010308 信访事务</t>
  </si>
  <si>
    <t xml:space="preserve">      2010399 其他政府办公厅（室）及相关机构事务支出</t>
  </si>
  <si>
    <t xml:space="preserve">    20104 发展与改革事务</t>
  </si>
  <si>
    <t xml:space="preserve">      2010402 一般行政管理事务</t>
  </si>
  <si>
    <t xml:space="preserve">      2010499 其他发展与改革事务支出</t>
  </si>
  <si>
    <t xml:space="preserve">    20105 统计信息事务</t>
  </si>
  <si>
    <t xml:space="preserve">      2010502 一般行政管理事务</t>
  </si>
  <si>
    <t xml:space="preserve">      2010504 信息事务</t>
  </si>
  <si>
    <t xml:space="preserve">      2010505 专项统计业务</t>
  </si>
  <si>
    <t xml:space="preserve">      2010507 专项普查活动</t>
  </si>
  <si>
    <t xml:space="preserve">      2010508 统计抽样调查</t>
  </si>
  <si>
    <t xml:space="preserve">    20106 财政事务</t>
  </si>
  <si>
    <t xml:space="preserve">      2010602 一般行政管理事务</t>
  </si>
  <si>
    <r>
      <t xml:space="preserve">      2010607</t>
    </r>
    <r>
      <rPr>
        <sz val="12"/>
        <rFont val="宋体"/>
        <family val="0"/>
      </rPr>
      <t xml:space="preserve"> 信息化建设</t>
    </r>
  </si>
  <si>
    <t xml:space="preserve">    20107 税收事务</t>
  </si>
  <si>
    <t xml:space="preserve">      2010702 一般行政管理事务</t>
  </si>
  <si>
    <t xml:space="preserve">    20108 审计事务</t>
  </si>
  <si>
    <t xml:space="preserve">      2010802 一般行政管理事务</t>
  </si>
  <si>
    <t xml:space="preserve">    20109 海关事务</t>
  </si>
  <si>
    <t xml:space="preserve">      2010902 一般行政管理事务</t>
  </si>
  <si>
    <r>
      <t xml:space="preserve">      201091</t>
    </r>
    <r>
      <rPr>
        <sz val="12"/>
        <rFont val="宋体"/>
        <family val="0"/>
      </rPr>
      <t>2 检验检疫</t>
    </r>
  </si>
  <si>
    <t xml:space="preserve">    20110 人力资源事务</t>
  </si>
  <si>
    <t xml:space="preserve">      2011002 一般行政管理事务</t>
  </si>
  <si>
    <t xml:space="preserve">      2011006 军队转业干部安置</t>
  </si>
  <si>
    <t xml:space="preserve">      2011009 公务员考核</t>
  </si>
  <si>
    <t xml:space="preserve">      2011010 公务员履职能力提升</t>
  </si>
  <si>
    <t xml:space="preserve">    20111 纪检监察事务</t>
  </si>
  <si>
    <t xml:space="preserve">      2011101 行政运行</t>
  </si>
  <si>
    <t xml:space="preserve">      2011102 一般行政管理事务</t>
  </si>
  <si>
    <r>
      <t xml:space="preserve">      2011199</t>
    </r>
    <r>
      <rPr>
        <sz val="12"/>
        <rFont val="宋体"/>
        <family val="0"/>
      </rPr>
      <t xml:space="preserve"> 其他纪检监察事务支出</t>
    </r>
  </si>
  <si>
    <t xml:space="preserve">    20113 商贸事务</t>
  </si>
  <si>
    <t xml:space="preserve">      2011302 一般行政管理事务</t>
  </si>
  <si>
    <t xml:space="preserve">      2011308 招商引资</t>
  </si>
  <si>
    <t xml:space="preserve">      2011399 其他商贸事务支出</t>
  </si>
  <si>
    <t xml:space="preserve">    20114 知识产权事务</t>
  </si>
  <si>
    <t xml:space="preserve">      2011406 专利试点和产业化推进</t>
  </si>
  <si>
    <t xml:space="preserve">      2011409 知识产权宏观管理</t>
  </si>
  <si>
    <t xml:space="preserve">    20115 工商行政管理事务</t>
  </si>
  <si>
    <t xml:space="preserve">      2011502 一般行政管理事务</t>
  </si>
  <si>
    <t xml:space="preserve">      2011504 工商行政管理专项</t>
  </si>
  <si>
    <t xml:space="preserve">    20117 质量技术监督与检验检疫事务</t>
  </si>
  <si>
    <t xml:space="preserve">      2011702 一般行政管理事务</t>
  </si>
  <si>
    <t xml:space="preserve">      2011799 其他质量技术监督与检验检疫事务支出</t>
  </si>
  <si>
    <t xml:space="preserve">    20123 民族事务</t>
  </si>
  <si>
    <t xml:space="preserve">      2012302 一般行政管理事务</t>
  </si>
  <si>
    <t xml:space="preserve">    20126 档案事务</t>
  </si>
  <si>
    <r>
      <t xml:space="preserve">      201260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一般行政管理事务</t>
    </r>
  </si>
  <si>
    <t xml:space="preserve">      2012604 档案馆</t>
  </si>
  <si>
    <t xml:space="preserve">    20128 民主党派及工商联事务</t>
  </si>
  <si>
    <t xml:space="preserve">      2012802 一般行政管理事务</t>
  </si>
  <si>
    <t xml:space="preserve">    20129 群众团体事务</t>
  </si>
  <si>
    <t xml:space="preserve">      2012902 一般行政管理事务</t>
  </si>
  <si>
    <t xml:space="preserve">      2012999 其他群众团体事务支出</t>
  </si>
  <si>
    <t xml:space="preserve">    20131 党委办公厅（室）及相关机构事务</t>
  </si>
  <si>
    <t xml:space="preserve">      2013102 一般行政管理事务</t>
  </si>
  <si>
    <r>
      <t xml:space="preserve">      2013103</t>
    </r>
    <r>
      <rPr>
        <sz val="12"/>
        <rFont val="宋体"/>
        <family val="0"/>
      </rPr>
      <t xml:space="preserve"> 机关服务</t>
    </r>
  </si>
  <si>
    <t xml:space="preserve">    20132 组织事务</t>
  </si>
  <si>
    <t xml:space="preserve">      2013202 一般行政管理事务</t>
  </si>
  <si>
    <t xml:space="preserve">    20133 宣传事务</t>
  </si>
  <si>
    <t xml:space="preserve">      2013302 一般行政管理事务</t>
  </si>
  <si>
    <t xml:space="preserve">    20134 统战事务</t>
  </si>
  <si>
    <t xml:space="preserve">      2013402 一般行政管理事务</t>
  </si>
  <si>
    <r>
      <t xml:space="preserve">    2013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网信事务</t>
    </r>
  </si>
  <si>
    <r>
      <t xml:space="preserve">      2013</t>
    </r>
    <r>
      <rPr>
        <sz val="12"/>
        <rFont val="宋体"/>
        <family val="0"/>
      </rPr>
      <t>6</t>
    </r>
    <r>
      <rPr>
        <sz val="12"/>
        <rFont val="宋体"/>
        <family val="0"/>
      </rPr>
      <t>02 一般行政管理事务</t>
    </r>
  </si>
  <si>
    <r>
      <t xml:space="preserve">    20137</t>
    </r>
    <r>
      <rPr>
        <sz val="12"/>
        <rFont val="宋体"/>
        <family val="0"/>
      </rPr>
      <t xml:space="preserve"> 网信事务</t>
    </r>
  </si>
  <si>
    <r>
      <t xml:space="preserve">      2013</t>
    </r>
    <r>
      <rPr>
        <sz val="12"/>
        <rFont val="宋体"/>
        <family val="0"/>
      </rPr>
      <t>7</t>
    </r>
    <r>
      <rPr>
        <sz val="12"/>
        <rFont val="宋体"/>
        <family val="0"/>
      </rPr>
      <t>02 一般行政管理事务</t>
    </r>
  </si>
  <si>
    <r>
      <t xml:space="preserve">    20138</t>
    </r>
    <r>
      <rPr>
        <sz val="12"/>
        <rFont val="宋体"/>
        <family val="0"/>
      </rPr>
      <t xml:space="preserve"> 市场监督管理事务</t>
    </r>
  </si>
  <si>
    <r>
      <t xml:space="preserve">      2013</t>
    </r>
    <r>
      <rPr>
        <sz val="12"/>
        <rFont val="宋体"/>
        <family val="0"/>
      </rPr>
      <t>8</t>
    </r>
    <r>
      <rPr>
        <sz val="12"/>
        <rFont val="宋体"/>
        <family val="0"/>
      </rPr>
      <t>02 一般行政管理事务</t>
    </r>
  </si>
  <si>
    <r>
      <t xml:space="preserve">      20138</t>
    </r>
    <r>
      <rPr>
        <sz val="12"/>
        <rFont val="宋体"/>
        <family val="0"/>
      </rPr>
      <t>0</t>
    </r>
    <r>
      <rPr>
        <sz val="12"/>
        <rFont val="宋体"/>
        <family val="0"/>
      </rPr>
      <t>4</t>
    </r>
    <r>
      <rPr>
        <sz val="12"/>
        <rFont val="宋体"/>
        <family val="0"/>
      </rPr>
      <t xml:space="preserve"> 市场监督管理专项</t>
    </r>
  </si>
  <si>
    <r>
      <t xml:space="preserve">      2013813</t>
    </r>
    <r>
      <rPr>
        <sz val="12"/>
        <rFont val="宋体"/>
        <family val="0"/>
      </rPr>
      <t xml:space="preserve"> 医疗器械事务</t>
    </r>
  </si>
  <si>
    <r>
      <t xml:space="preserve">      2013899</t>
    </r>
    <r>
      <rPr>
        <sz val="12"/>
        <rFont val="宋体"/>
        <family val="0"/>
      </rPr>
      <t xml:space="preserve"> 其他市场监督管理事务</t>
    </r>
  </si>
  <si>
    <t xml:space="preserve">    20199 其他一般公共服务支出</t>
  </si>
  <si>
    <t xml:space="preserve">      2019999 其他一般公共服务支出</t>
  </si>
  <si>
    <r>
      <t xml:space="preserve">  20</t>
    </r>
    <r>
      <rPr>
        <sz val="12"/>
        <rFont val="宋体"/>
        <family val="0"/>
      </rPr>
      <t>3</t>
    </r>
    <r>
      <rPr>
        <sz val="12"/>
        <rFont val="宋体"/>
        <family val="0"/>
      </rPr>
      <t xml:space="preserve"> 国防支出</t>
    </r>
  </si>
  <si>
    <r>
      <t xml:space="preserve">      203</t>
    </r>
    <r>
      <rPr>
        <sz val="12"/>
        <rFont val="宋体"/>
        <family val="0"/>
      </rPr>
      <t>0</t>
    </r>
    <r>
      <rPr>
        <sz val="12"/>
        <rFont val="宋体"/>
        <family val="0"/>
      </rPr>
      <t>6</t>
    </r>
    <r>
      <rPr>
        <sz val="12"/>
        <rFont val="宋体"/>
        <family val="0"/>
      </rPr>
      <t>0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民兵</t>
    </r>
  </si>
  <si>
    <t xml:space="preserve">    20401 武装警察部队</t>
  </si>
  <si>
    <t xml:space="preserve">      2040103 消防</t>
  </si>
  <si>
    <t xml:space="preserve">    20402 公安</t>
  </si>
  <si>
    <t xml:space="preserve">      2040202 一般行政管理事务</t>
  </si>
  <si>
    <t xml:space="preserve">      2040206 刑事侦查</t>
  </si>
  <si>
    <t xml:space="preserve">      2040209 行动技术管理</t>
  </si>
  <si>
    <t xml:space="preserve">      2040211 禁毒管理</t>
  </si>
  <si>
    <t xml:space="preserve">      2040212 道路交通管理</t>
  </si>
  <si>
    <t xml:space="preserve">      2040214 反恐怖</t>
  </si>
  <si>
    <t xml:space="preserve">      2040219 信息化建设</t>
  </si>
  <si>
    <r>
      <t xml:space="preserve">      20402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执法办案</t>
    </r>
  </si>
  <si>
    <t xml:space="preserve">      2040299 其他公安支出</t>
  </si>
  <si>
    <t xml:space="preserve">    20403 国家安全</t>
  </si>
  <si>
    <t xml:space="preserve">      2040302 一般行政管理事务</t>
  </si>
  <si>
    <t xml:space="preserve">    20404 检察</t>
  </si>
  <si>
    <t xml:space="preserve">      2040402 一般行政管理事务</t>
  </si>
  <si>
    <t xml:space="preserve">    20405 法院</t>
  </si>
  <si>
    <t xml:space="preserve">      2040502 一般行政管理事务</t>
  </si>
  <si>
    <t xml:space="preserve">      2040506 “两庭”建设</t>
  </si>
  <si>
    <t xml:space="preserve">    20406 司法</t>
  </si>
  <si>
    <t xml:space="preserve">      2040602 一般行政管理事务</t>
  </si>
  <si>
    <r>
      <t xml:space="preserve">      2040604</t>
    </r>
    <r>
      <rPr>
        <sz val="12"/>
        <rFont val="宋体"/>
        <family val="0"/>
      </rPr>
      <t xml:space="preserve"> 基层司法业务</t>
    </r>
  </si>
  <si>
    <t xml:space="preserve">      2040605 普法宣传</t>
  </si>
  <si>
    <t xml:space="preserve">      2040607 法律援助</t>
  </si>
  <si>
    <t xml:space="preserve">      2040610 社区矫正</t>
  </si>
  <si>
    <r>
      <t xml:space="preserve">      204061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法制建设</t>
    </r>
  </si>
  <si>
    <t xml:space="preserve">    20499 其他公共安全支出</t>
  </si>
  <si>
    <t xml:space="preserve">      2049901 其他公共安全支出</t>
  </si>
  <si>
    <t xml:space="preserve">    20501 教育管理事务</t>
  </si>
  <si>
    <t xml:space="preserve">      2050102 一般行政管理事务</t>
  </si>
  <si>
    <t xml:space="preserve">    20502 普通教育</t>
  </si>
  <si>
    <t xml:space="preserve">      2050201 学前教育</t>
  </si>
  <si>
    <t xml:space="preserve">      2050202 小学教育</t>
  </si>
  <si>
    <t xml:space="preserve">      2050203 初中教育</t>
  </si>
  <si>
    <t xml:space="preserve">      2050204 高中教育</t>
  </si>
  <si>
    <t xml:space="preserve">      2050205 高等教育</t>
  </si>
  <si>
    <t xml:space="preserve">      2050299 其他普通教育支出</t>
  </si>
  <si>
    <t xml:space="preserve">    20503 职业教育</t>
  </si>
  <si>
    <t xml:space="preserve">      2050302 中专教育</t>
  </si>
  <si>
    <t xml:space="preserve">    20504 成人教育</t>
  </si>
  <si>
    <t xml:space="preserve">      2050404 成人广播电视教育</t>
  </si>
  <si>
    <t xml:space="preserve">      2050499 其他成人教育支出</t>
  </si>
  <si>
    <t xml:space="preserve">    20507 特殊教育</t>
  </si>
  <si>
    <t xml:space="preserve">      2050701 特殊学校教育</t>
  </si>
  <si>
    <r>
      <t xml:space="preserve">      20507</t>
    </r>
    <r>
      <rPr>
        <sz val="12"/>
        <rFont val="宋体"/>
        <family val="0"/>
      </rPr>
      <t>99</t>
    </r>
    <r>
      <rPr>
        <sz val="12"/>
        <rFont val="宋体"/>
        <family val="0"/>
      </rPr>
      <t xml:space="preserve"> 其他特殊教育支出</t>
    </r>
  </si>
  <si>
    <t xml:space="preserve">    20508 进修及培训</t>
  </si>
  <si>
    <t xml:space="preserve">      2050801 教师进修</t>
  </si>
  <si>
    <t xml:space="preserve">      2050802 干部教育</t>
  </si>
  <si>
    <t xml:space="preserve">      2050899 其他进修及培训</t>
  </si>
  <si>
    <t xml:space="preserve">    20509 教育费附加安排的支出</t>
  </si>
  <si>
    <t xml:space="preserve">      2050904 城市中小学教学设施</t>
  </si>
  <si>
    <t xml:space="preserve">      2050905 中等职业学校教学设施</t>
  </si>
  <si>
    <t xml:space="preserve">      2050999 其他教育费附加安排的支出</t>
  </si>
  <si>
    <t xml:space="preserve">    20599 其他教育支出</t>
  </si>
  <si>
    <t xml:space="preserve">      2059999 其他教育支出</t>
  </si>
  <si>
    <t xml:space="preserve">    20601 科学技术管理事务</t>
  </si>
  <si>
    <t xml:space="preserve">      2060102 一般行政管理事务</t>
  </si>
  <si>
    <t xml:space="preserve">    20602 基础研究</t>
  </si>
  <si>
    <t xml:space="preserve">      2060202 重点基础研究规划</t>
  </si>
  <si>
    <t xml:space="preserve">    20603 应用研究</t>
  </si>
  <si>
    <t xml:space="preserve">      2060303 高技术研究</t>
  </si>
  <si>
    <t xml:space="preserve">    20604 技术研究与开发</t>
  </si>
  <si>
    <t xml:space="preserve">      2060402 应用技术研究与开发</t>
  </si>
  <si>
    <t xml:space="preserve">      2060403 产业技术研究与开发</t>
  </si>
  <si>
    <t xml:space="preserve">      2060404 科技成果转化与扩散</t>
  </si>
  <si>
    <t xml:space="preserve">      2060499 其他技术研究与开发支出</t>
  </si>
  <si>
    <t xml:space="preserve">    20605 科技条件与服务</t>
  </si>
  <si>
    <t xml:space="preserve">      2060502 技术创新服务体系</t>
  </si>
  <si>
    <t xml:space="preserve">    20607 科学技术普及</t>
  </si>
  <si>
    <t xml:space="preserve">      2060702 科普活动</t>
  </si>
  <si>
    <r>
      <t xml:space="preserve">      2060703</t>
    </r>
    <r>
      <rPr>
        <sz val="12"/>
        <rFont val="宋体"/>
        <family val="0"/>
      </rPr>
      <t xml:space="preserve"> 青少年科技活动</t>
    </r>
  </si>
  <si>
    <t xml:space="preserve">      2060705 科技馆站</t>
  </si>
  <si>
    <t xml:space="preserve">      2060799 其他科学技术普及支出</t>
  </si>
  <si>
    <t xml:space="preserve">    20608 科技交流与合作</t>
  </si>
  <si>
    <t xml:space="preserve">      2060801 国际交流与合作</t>
  </si>
  <si>
    <t xml:space="preserve">      2060899 其他科技交流与合作支出</t>
  </si>
  <si>
    <t xml:space="preserve">    20609 科技重大项目</t>
  </si>
  <si>
    <t xml:space="preserve">      2060901 科技重大专项</t>
  </si>
  <si>
    <t xml:space="preserve">    20699 其他科学技术支出</t>
  </si>
  <si>
    <t xml:space="preserve">      2069999 其他科学技术支出</t>
  </si>
  <si>
    <t xml:space="preserve">  207 文化旅游体育与传媒支出</t>
  </si>
  <si>
    <t xml:space="preserve">    20701 文化和旅游</t>
  </si>
  <si>
    <t xml:space="preserve">      2070102 一般行政管理事务</t>
  </si>
  <si>
    <t xml:space="preserve">      2070104 图书馆</t>
  </si>
  <si>
    <t xml:space="preserve">      2070108 文化活动</t>
  </si>
  <si>
    <t xml:space="preserve">      2070109 群众文化</t>
  </si>
  <si>
    <t xml:space="preserve">      2070111 文化创作与保护</t>
  </si>
  <si>
    <t xml:space="preserve">      2070112 文化和旅游市场管理</t>
  </si>
  <si>
    <t xml:space="preserve">      2070199 其他文化和旅游支出</t>
  </si>
  <si>
    <t xml:space="preserve">    20702 文物</t>
  </si>
  <si>
    <t xml:space="preserve">      2070204 文物保护</t>
  </si>
  <si>
    <t xml:space="preserve">    20703 体育</t>
  </si>
  <si>
    <t xml:space="preserve">      2070302 一般行政管理事务</t>
  </si>
  <si>
    <t xml:space="preserve">      2070305 体育竞赛</t>
  </si>
  <si>
    <t xml:space="preserve">      2070306 体育训练</t>
  </si>
  <si>
    <r>
      <t xml:space="preserve">      2070307</t>
    </r>
    <r>
      <rPr>
        <sz val="12"/>
        <rFont val="宋体"/>
        <family val="0"/>
      </rPr>
      <t xml:space="preserve"> 体育场馆</t>
    </r>
  </si>
  <si>
    <t xml:space="preserve">      2070308 群众体育</t>
  </si>
  <si>
    <r>
      <t xml:space="preserve">      2070399</t>
    </r>
    <r>
      <rPr>
        <sz val="12"/>
        <rFont val="宋体"/>
        <family val="0"/>
      </rPr>
      <t xml:space="preserve"> 其他体育支出</t>
    </r>
  </si>
  <si>
    <t xml:space="preserve">    20704 新闻出版广播影视</t>
  </si>
  <si>
    <t xml:space="preserve">      2070405 电视</t>
  </si>
  <si>
    <r>
      <t xml:space="preserve">    207</t>
    </r>
    <r>
      <rPr>
        <sz val="12"/>
        <rFont val="宋体"/>
        <family val="0"/>
      </rPr>
      <t>08</t>
    </r>
    <r>
      <rPr>
        <sz val="12"/>
        <rFont val="宋体"/>
        <family val="0"/>
      </rPr>
      <t xml:space="preserve"> 广播电视</t>
    </r>
  </si>
  <si>
    <r>
      <t xml:space="preserve">      207</t>
    </r>
    <r>
      <rPr>
        <sz val="12"/>
        <rFont val="宋体"/>
        <family val="0"/>
      </rPr>
      <t>0805</t>
    </r>
    <r>
      <rPr>
        <sz val="12"/>
        <rFont val="宋体"/>
        <family val="0"/>
      </rPr>
      <t xml:space="preserve"> 电视</t>
    </r>
  </si>
  <si>
    <t xml:space="preserve">      2070899 其他广播电视支出</t>
  </si>
  <si>
    <t xml:space="preserve">    20799 其他文化体育与传媒支出</t>
  </si>
  <si>
    <t xml:space="preserve">      2079902 宣传文化发展专项支出</t>
  </si>
  <si>
    <t xml:space="preserve">      2079903 文化产业发展专项支出</t>
  </si>
  <si>
    <t xml:space="preserve">      2079999 其他文化体育与传媒支出</t>
  </si>
  <si>
    <t xml:space="preserve">    20801 人力资源和社会保障管理事务</t>
  </si>
  <si>
    <t xml:space="preserve">      2080102 一般行政管理事务</t>
  </si>
  <si>
    <t xml:space="preserve">      2080105 劳动保障监察</t>
  </si>
  <si>
    <t xml:space="preserve">      2080109 社会保险经办机构</t>
  </si>
  <si>
    <t xml:space="preserve">      2080110 劳动关系和维权</t>
  </si>
  <si>
    <t xml:space="preserve">      2080111 公共就业服务和职业技能鉴定机构</t>
  </si>
  <si>
    <t xml:space="preserve">      2080199 其他人力资源和社会保障管理事务支出</t>
  </si>
  <si>
    <t xml:space="preserve">    20802 民政管理事务</t>
  </si>
  <si>
    <t xml:space="preserve">      2080202 一般行政管理事务</t>
  </si>
  <si>
    <t xml:space="preserve">      2080204 拥军优属</t>
  </si>
  <si>
    <t xml:space="preserve">      2080205 老龄事务</t>
  </si>
  <si>
    <t xml:space="preserve">      2080208 基层政权和社区建设</t>
  </si>
  <si>
    <t xml:space="preserve">      2080299 其他民政管理事务支出</t>
  </si>
  <si>
    <t xml:space="preserve">    20805 行政事业单位离退休</t>
  </si>
  <si>
    <t xml:space="preserve">      2080502 事业单位离退休</t>
  </si>
  <si>
    <t xml:space="preserve">      2080507 对机关事业单位基本养老保险基金的补助</t>
  </si>
  <si>
    <t xml:space="preserve">      2080599 其他行政事业单位离退休支出</t>
  </si>
  <si>
    <t xml:space="preserve">    20806 企业改革补助</t>
  </si>
  <si>
    <t xml:space="preserve">      2080699 其他企业改革发展补助</t>
  </si>
  <si>
    <t xml:space="preserve">    20807 就业补助</t>
  </si>
  <si>
    <t xml:space="preserve">      2080705 公益性岗位补贴</t>
  </si>
  <si>
    <t xml:space="preserve">      2080711 就业见习补贴</t>
  </si>
  <si>
    <t xml:space="preserve">      2080713 求职创业补贴</t>
  </si>
  <si>
    <t xml:space="preserve">      2080799 其他就业补助支出</t>
  </si>
  <si>
    <t xml:space="preserve">    20808 抚恤</t>
  </si>
  <si>
    <t xml:space="preserve">      2080801 死亡抚恤</t>
  </si>
  <si>
    <t xml:space="preserve">      2080802 伤残抚恤</t>
  </si>
  <si>
    <t xml:space="preserve">      2080803 在乡复员、退伍军人生活补助</t>
  </si>
  <si>
    <t xml:space="preserve">      2080805 义务兵优待</t>
  </si>
  <si>
    <t xml:space="preserve">      2080806 农村籍退役士兵老年生活补助</t>
  </si>
  <si>
    <t xml:space="preserve">      2080899 其他优抚支出</t>
  </si>
  <si>
    <t xml:space="preserve">    20809 退役安置</t>
  </si>
  <si>
    <t xml:space="preserve">      2080901 退役士兵安置</t>
  </si>
  <si>
    <t xml:space="preserve">      2080902 军队移交政府的离退休人员安置</t>
  </si>
  <si>
    <t xml:space="preserve">      2080903 军队移交政府离退休干部管理机构</t>
  </si>
  <si>
    <t xml:space="preserve">      2080904 退役士兵管理教育</t>
  </si>
  <si>
    <t xml:space="preserve">      2080905 军队转业干部安置</t>
  </si>
  <si>
    <r>
      <t xml:space="preserve">      2080999</t>
    </r>
    <r>
      <rPr>
        <sz val="12"/>
        <rFont val="宋体"/>
        <family val="0"/>
      </rPr>
      <t xml:space="preserve"> 其他退役安置支出</t>
    </r>
  </si>
  <si>
    <t xml:space="preserve">    20810 社会福利</t>
  </si>
  <si>
    <t xml:space="preserve">      2081001 儿童福利</t>
  </si>
  <si>
    <t xml:space="preserve">      2081002 老年福利</t>
  </si>
  <si>
    <t xml:space="preserve">      2081004 殡葬</t>
  </si>
  <si>
    <t xml:space="preserve">      2081099 其他社会福利支出</t>
  </si>
  <si>
    <t xml:space="preserve">    20811 残疾人事业</t>
  </si>
  <si>
    <t xml:space="preserve">      2081104 残疾人康复</t>
  </si>
  <si>
    <t xml:space="preserve">      2081105 残疾人就业和扶贫</t>
  </si>
  <si>
    <t xml:space="preserve">      2081106 残疾人体育</t>
  </si>
  <si>
    <t xml:space="preserve">      2081107 残疾人生活和护理补贴</t>
  </si>
  <si>
    <t xml:space="preserve">      2081199 其他残疾人事业支出</t>
  </si>
  <si>
    <t xml:space="preserve">    20816 红十字事业</t>
  </si>
  <si>
    <t xml:space="preserve">      2081602 一般行政管理事务</t>
  </si>
  <si>
    <t xml:space="preserve">    20819 最低生活保障</t>
  </si>
  <si>
    <t xml:space="preserve">      2081901 城市最低生活保障金支出</t>
  </si>
  <si>
    <t xml:space="preserve">      2081902 农村最低生活保障金支出</t>
  </si>
  <si>
    <t xml:space="preserve">    20820 临时救助</t>
  </si>
  <si>
    <t xml:space="preserve">      2082001 临时救助支出</t>
  </si>
  <si>
    <t xml:space="preserve">      2082002 流浪乞讨人员救助支出</t>
  </si>
  <si>
    <t xml:space="preserve">    20821 特困人员供养</t>
  </si>
  <si>
    <t xml:space="preserve">      2082102 农村特困人员救助供养支出</t>
  </si>
  <si>
    <t xml:space="preserve">    20825 其他生活救助</t>
  </si>
  <si>
    <t xml:space="preserve">      2082501 其他城市生活救助</t>
  </si>
  <si>
    <t xml:space="preserve">      2082502 其他农村生活救助</t>
  </si>
  <si>
    <t xml:space="preserve">    20826 财政对基本养老保险基金的补助</t>
  </si>
  <si>
    <t xml:space="preserve">      2082602 财政对城乡居民基本养老保险基金的补助</t>
  </si>
  <si>
    <r>
      <t xml:space="preserve">    20828</t>
    </r>
    <r>
      <rPr>
        <sz val="12"/>
        <rFont val="宋体"/>
        <family val="0"/>
      </rPr>
      <t xml:space="preserve"> 退役军人管理事务</t>
    </r>
  </si>
  <si>
    <r>
      <t xml:space="preserve">      20828</t>
    </r>
    <r>
      <rPr>
        <sz val="12"/>
        <rFont val="宋体"/>
        <family val="0"/>
      </rPr>
      <t>02 一般行政管理事务</t>
    </r>
  </si>
  <si>
    <t xml:space="preserve">      2082804 拥军优属</t>
  </si>
  <si>
    <r>
      <t xml:space="preserve">      2082899</t>
    </r>
    <r>
      <rPr>
        <sz val="12"/>
        <rFont val="宋体"/>
        <family val="0"/>
      </rPr>
      <t xml:space="preserve"> 其他退役军人事务管理支出</t>
    </r>
  </si>
  <si>
    <t xml:space="preserve">    20899 其他社会保障和就业支出</t>
  </si>
  <si>
    <t xml:space="preserve">      2089901 其他社会保障和就业支出</t>
  </si>
  <si>
    <t xml:space="preserve">  210 卫生健康支出</t>
  </si>
  <si>
    <t xml:space="preserve">    21001 卫生健康管理事务</t>
  </si>
  <si>
    <t xml:space="preserve">      2100102 一般行政管理事务</t>
  </si>
  <si>
    <r>
      <t xml:space="preserve">      2100199</t>
    </r>
    <r>
      <rPr>
        <sz val="12"/>
        <rFont val="宋体"/>
        <family val="0"/>
      </rPr>
      <t xml:space="preserve"> 其他卫生健康管理事务支出</t>
    </r>
  </si>
  <si>
    <t xml:space="preserve">    21002 公立医院</t>
  </si>
  <si>
    <t xml:space="preserve">      2100201 综合医院</t>
  </si>
  <si>
    <t xml:space="preserve">      2100202 中医（民族）医院</t>
  </si>
  <si>
    <t xml:space="preserve">    21003 基层医疗卫生机构</t>
  </si>
  <si>
    <t xml:space="preserve">      2100301 城市社区卫生机构</t>
  </si>
  <si>
    <t xml:space="preserve">      2100302 乡镇卫生院</t>
  </si>
  <si>
    <t xml:space="preserve">      2100399 其他基层医疗卫生机构支出</t>
  </si>
  <si>
    <t xml:space="preserve">    21004 公共卫生</t>
  </si>
  <si>
    <t xml:space="preserve">      2100401 疾病预防控制机构</t>
  </si>
  <si>
    <t xml:space="preserve">      2100402 卫生监督机构</t>
  </si>
  <si>
    <t xml:space="preserve">      2100403 妇幼保健机构</t>
  </si>
  <si>
    <t xml:space="preserve">      2100408 基本公共卫生服务</t>
  </si>
  <si>
    <t xml:space="preserve">      2100409 重大公共卫生专项</t>
  </si>
  <si>
    <t xml:space="preserve">      2100499 其他公共卫生支出</t>
  </si>
  <si>
    <t xml:space="preserve">    21006 中医药</t>
  </si>
  <si>
    <t xml:space="preserve">      2100601 中医（民族医）药专项</t>
  </si>
  <si>
    <r>
      <t xml:space="preserve">      21006</t>
    </r>
    <r>
      <rPr>
        <sz val="12"/>
        <rFont val="宋体"/>
        <family val="0"/>
      </rPr>
      <t>99</t>
    </r>
    <r>
      <rPr>
        <sz val="12"/>
        <rFont val="宋体"/>
        <family val="0"/>
      </rPr>
      <t xml:space="preserve"> 其他中医药支出</t>
    </r>
  </si>
  <si>
    <t xml:space="preserve">    21007 计划生育事务</t>
  </si>
  <si>
    <t xml:space="preserve">      2100717 计划生育服务</t>
  </si>
  <si>
    <t xml:space="preserve">      2100799 其他计划生育事务支出</t>
  </si>
  <si>
    <t xml:space="preserve">    21010 食品和药品监督管理事务</t>
  </si>
  <si>
    <t xml:space="preserve">      2101012 药品事务</t>
  </si>
  <si>
    <t xml:space="preserve">      2101016 食品安全事务</t>
  </si>
  <si>
    <t xml:space="preserve">      2101099 其他食品和药品监督管理事务支出</t>
  </si>
  <si>
    <t xml:space="preserve">    21011 行政事业单位医疗</t>
  </si>
  <si>
    <r>
      <t xml:space="preserve">      21011</t>
    </r>
    <r>
      <rPr>
        <sz val="12"/>
        <rFont val="宋体"/>
        <family val="0"/>
      </rPr>
      <t>01</t>
    </r>
    <r>
      <rPr>
        <sz val="12"/>
        <rFont val="宋体"/>
        <family val="0"/>
      </rPr>
      <t xml:space="preserve"> 行政单位医疗</t>
    </r>
  </si>
  <si>
    <r>
      <t xml:space="preserve">      21011</t>
    </r>
    <r>
      <rPr>
        <sz val="12"/>
        <rFont val="宋体"/>
        <family val="0"/>
      </rPr>
      <t>03</t>
    </r>
    <r>
      <rPr>
        <sz val="12"/>
        <rFont val="宋体"/>
        <family val="0"/>
      </rPr>
      <t xml:space="preserve"> 公务员医疗补助</t>
    </r>
  </si>
  <si>
    <t xml:space="preserve">      2101199 其他行政事业单位医疗支出</t>
  </si>
  <si>
    <t xml:space="preserve">    21012 财政对基本医疗保险基金的补助</t>
  </si>
  <si>
    <t xml:space="preserve">      2101201 财政对职工基本医疗保险基金的补助</t>
  </si>
  <si>
    <t xml:space="preserve">      2101202 财政对城乡居民基本医疗保险基金的补助</t>
  </si>
  <si>
    <t xml:space="preserve">      2101204 财政对城镇居民基本医疗保险基金的补助</t>
  </si>
  <si>
    <t xml:space="preserve">    21013 医疗救助</t>
  </si>
  <si>
    <t xml:space="preserve">      2101301 城乡医疗救助</t>
  </si>
  <si>
    <t xml:space="preserve">      2101399 其他医疗救助支出</t>
  </si>
  <si>
    <t xml:space="preserve">    21014 优抚对象医疗</t>
  </si>
  <si>
    <t xml:space="preserve">      2101401 优抚对象医疗补助</t>
  </si>
  <si>
    <r>
      <t xml:space="preserve">      2101499 </t>
    </r>
    <r>
      <rPr>
        <sz val="12"/>
        <rFont val="宋体"/>
        <family val="0"/>
      </rPr>
      <t>其他优抚对象医疗支出</t>
    </r>
  </si>
  <si>
    <r>
      <t xml:space="preserve">    2101</t>
    </r>
    <r>
      <rPr>
        <sz val="12"/>
        <rFont val="宋体"/>
        <family val="0"/>
      </rPr>
      <t>5</t>
    </r>
    <r>
      <rPr>
        <sz val="12"/>
        <rFont val="宋体"/>
        <family val="0"/>
      </rPr>
      <t xml:space="preserve"> 医疗保障管理事务</t>
    </r>
  </si>
  <si>
    <r>
      <t xml:space="preserve">      2101502</t>
    </r>
    <r>
      <rPr>
        <sz val="12"/>
        <rFont val="宋体"/>
        <family val="0"/>
      </rPr>
      <t xml:space="preserve"> 一般行政管理事务</t>
    </r>
  </si>
  <si>
    <t xml:space="preserve">    21099 其他卫生健康支出</t>
  </si>
  <si>
    <t xml:space="preserve">      2109901 其他卫生健康支出</t>
  </si>
  <si>
    <t xml:space="preserve">    21101 环境保护管理事务</t>
  </si>
  <si>
    <t xml:space="preserve">      2110102 一般行政管理事务</t>
  </si>
  <si>
    <t xml:space="preserve">      2110104 生态环境保护宣传</t>
  </si>
  <si>
    <t xml:space="preserve">      2110105 环境保护法规、规划及标准</t>
  </si>
  <si>
    <t xml:space="preserve">      2110107 生态环境保护行政许可</t>
  </si>
  <si>
    <t xml:space="preserve">    21102 环境监测与监察</t>
  </si>
  <si>
    <t xml:space="preserve">      2110299 其他环境监测与监察支出</t>
  </si>
  <si>
    <t xml:space="preserve">    21103 污染防治</t>
  </si>
  <si>
    <t xml:space="preserve">      2110301 大气</t>
  </si>
  <si>
    <t xml:space="preserve">      2110302 水体</t>
  </si>
  <si>
    <t xml:space="preserve">      2110304 固体废弃物与化学品</t>
  </si>
  <si>
    <t xml:space="preserve">      2110307 排污费安排的支出</t>
  </si>
  <si>
    <t xml:space="preserve">      2110399 其他污染防治支出</t>
  </si>
  <si>
    <t xml:space="preserve">    21104 自然生态保护</t>
  </si>
  <si>
    <t xml:space="preserve">      2110401 生态保护</t>
  </si>
  <si>
    <t xml:space="preserve">      2110402 农村环境保护</t>
  </si>
  <si>
    <t xml:space="preserve">    21110 能源节约利用</t>
  </si>
  <si>
    <t xml:space="preserve">      2111001 能源节约利用</t>
  </si>
  <si>
    <t xml:space="preserve">    21111 污染减排</t>
  </si>
  <si>
    <t xml:space="preserve">      2111101 生态环境监测与信息</t>
  </si>
  <si>
    <t xml:space="preserve">      2111102 生态环境执法监察</t>
  </si>
  <si>
    <t xml:space="preserve">      2111103 减排专项支出</t>
  </si>
  <si>
    <t xml:space="preserve">      2111199 其他污染减排支出</t>
  </si>
  <si>
    <t xml:space="preserve">    21201 城乡社区管理事务</t>
  </si>
  <si>
    <t xml:space="preserve">      2120102 一般行政管理事务</t>
  </si>
  <si>
    <t xml:space="preserve">      2120104 城管执法</t>
  </si>
  <si>
    <t xml:space="preserve">      2120199 其他城乡社区管理事务支出</t>
  </si>
  <si>
    <t xml:space="preserve">    21202 城乡社区规划与管理</t>
  </si>
  <si>
    <t xml:space="preserve">      2120201 城乡社区规划与管理</t>
  </si>
  <si>
    <t xml:space="preserve">    21203 城乡社区公共设施</t>
  </si>
  <si>
    <t xml:space="preserve">      2120303 小城镇基础设施建设</t>
  </si>
  <si>
    <t xml:space="preserve">      2120399 其他城乡社区公共设施支出</t>
  </si>
  <si>
    <t xml:space="preserve">    21205 城乡社区环境卫生</t>
  </si>
  <si>
    <t xml:space="preserve">      2120501 城乡社区环境卫生</t>
  </si>
  <si>
    <t xml:space="preserve">    21206 建设市场管理与监督</t>
  </si>
  <si>
    <t xml:space="preserve">      2120601 建设市场管理与监督</t>
  </si>
  <si>
    <t xml:space="preserve">    21299 其他城乡社区支出</t>
  </si>
  <si>
    <r>
      <t xml:space="preserve">      21299</t>
    </r>
    <r>
      <rPr>
        <sz val="12"/>
        <rFont val="宋体"/>
        <family val="0"/>
      </rPr>
      <t>01</t>
    </r>
    <r>
      <rPr>
        <sz val="12"/>
        <rFont val="宋体"/>
        <family val="0"/>
      </rPr>
      <t xml:space="preserve"> 其他城乡社区支出</t>
    </r>
  </si>
  <si>
    <t xml:space="preserve">      2129999 其他城乡社区支出</t>
  </si>
  <si>
    <t xml:space="preserve">    21301 农业</t>
  </si>
  <si>
    <t xml:space="preserve">      2130102 一般行政管理事务</t>
  </si>
  <si>
    <t xml:space="preserve">      2130106 科技转化与推广服务</t>
  </si>
  <si>
    <t xml:space="preserve">      2130108 病虫害控制</t>
  </si>
  <si>
    <t xml:space="preserve">      2130109 农产品质量安全</t>
  </si>
  <si>
    <t xml:space="preserve">      2130110 执法监管</t>
  </si>
  <si>
    <t xml:space="preserve">      2130111 统计监测与信息服务</t>
  </si>
  <si>
    <t xml:space="preserve">      2130112 农业行业业务管理</t>
  </si>
  <si>
    <t xml:space="preserve">      2130121 农业结构调整补贴</t>
  </si>
  <si>
    <t xml:space="preserve">      2130122 农业生产支持补贴</t>
  </si>
  <si>
    <t xml:space="preserve">      2130124 农业组织化与产业化经营</t>
  </si>
  <si>
    <t xml:space="preserve">      2130125 农产品加工与促销</t>
  </si>
  <si>
    <t xml:space="preserve">      2130126 农村公益事业</t>
  </si>
  <si>
    <t xml:space="preserve">      2130135 农业资源保护修复与利用</t>
  </si>
  <si>
    <t xml:space="preserve">      2130148 成品油价格改革对渔业的补贴</t>
  </si>
  <si>
    <t xml:space="preserve">      2130152 对高校毕业生到基层任职补助</t>
  </si>
  <si>
    <t xml:space="preserve">      2130199 其他农业支出</t>
  </si>
  <si>
    <t xml:space="preserve">    21302 林业和草原</t>
  </si>
  <si>
    <t xml:space="preserve">      2130205 森林培育</t>
  </si>
  <si>
    <t xml:space="preserve">      2130211 动植物保护</t>
  </si>
  <si>
    <t xml:space="preserve">      2130234 防灾减灾</t>
  </si>
  <si>
    <t xml:space="preserve">      2130299 其他林业和草原支出</t>
  </si>
  <si>
    <t xml:space="preserve">    21303 水利</t>
  </si>
  <si>
    <t xml:space="preserve">      2130305 水利工程建设</t>
  </si>
  <si>
    <r>
      <t xml:space="preserve">      2130310</t>
    </r>
    <r>
      <rPr>
        <sz val="12"/>
        <rFont val="宋体"/>
        <family val="0"/>
      </rPr>
      <t xml:space="preserve"> 水土保持</t>
    </r>
  </si>
  <si>
    <t xml:space="preserve">      2130311 水资源节约管理与保护</t>
  </si>
  <si>
    <t xml:space="preserve">      2130314 防汛</t>
  </si>
  <si>
    <t xml:space="preserve">      2130316 农田水利</t>
  </si>
  <si>
    <t xml:space="preserve">      2130321 大中型水库移民后期扶持专项支出</t>
  </si>
  <si>
    <t xml:space="preserve">      2130399 其他水利支出</t>
  </si>
  <si>
    <t xml:space="preserve">    21306 农业综合开发</t>
  </si>
  <si>
    <t xml:space="preserve">      2130602 土地治理</t>
  </si>
  <si>
    <t xml:space="preserve">      2130603 产业化经营</t>
  </si>
  <si>
    <t xml:space="preserve">    21307 农村综合改革</t>
  </si>
  <si>
    <t xml:space="preserve">      2130705 对村民委员会和村党支部的补助</t>
  </si>
  <si>
    <t xml:space="preserve">      2130706 对村集体经济组织的补助</t>
  </si>
  <si>
    <t xml:space="preserve">    21308 普惠金融发展支出</t>
  </si>
  <si>
    <t xml:space="preserve">      2130803 农业保险保费补贴</t>
  </si>
  <si>
    <t xml:space="preserve">      2130804 小额担保贷款贴息</t>
  </si>
  <si>
    <t xml:space="preserve">      2130805 补充小额担保贷款基金</t>
  </si>
  <si>
    <r>
      <t xml:space="preserve">    21399</t>
    </r>
    <r>
      <rPr>
        <sz val="12"/>
        <rFont val="宋体"/>
        <family val="0"/>
      </rPr>
      <t xml:space="preserve"> 其他农林水支出</t>
    </r>
  </si>
  <si>
    <r>
      <t xml:space="preserve">      2139999</t>
    </r>
    <r>
      <rPr>
        <sz val="12"/>
        <rFont val="宋体"/>
        <family val="0"/>
      </rPr>
      <t xml:space="preserve"> 其他农林水支出</t>
    </r>
  </si>
  <si>
    <t xml:space="preserve">    21401 公路水路运输</t>
  </si>
  <si>
    <t xml:space="preserve">      2140102 一般行政管理事务</t>
  </si>
  <si>
    <t xml:space="preserve">      2140106 公路养护</t>
  </si>
  <si>
    <t xml:space="preserve">      2140112 公路运输管理</t>
  </si>
  <si>
    <t xml:space="preserve">      2140199 其他公路水路运输支出</t>
  </si>
  <si>
    <t xml:space="preserve">    21402 铁路运输</t>
  </si>
  <si>
    <t xml:space="preserve">      2140206 铁路安全</t>
  </si>
  <si>
    <t xml:space="preserve">    21404 成品油价格改革对交通运输的补贴</t>
  </si>
  <si>
    <t xml:space="preserve">      2140499 成品油价格改革补贴其他支出</t>
  </si>
  <si>
    <t xml:space="preserve">    21499 其他交通运输支出</t>
  </si>
  <si>
    <t xml:space="preserve">      2149999 其他交通运输支出</t>
  </si>
  <si>
    <t xml:space="preserve">  215 资源勘探信息等支出</t>
  </si>
  <si>
    <t xml:space="preserve">    21502 制造业</t>
  </si>
  <si>
    <t xml:space="preserve">      2150209 电气机械及器材制造业</t>
  </si>
  <si>
    <t xml:space="preserve">      2150299 其他制造业支出</t>
  </si>
  <si>
    <t xml:space="preserve">    21506 安全生产监管</t>
  </si>
  <si>
    <t xml:space="preserve">      2150602 一般行政管理事务</t>
  </si>
  <si>
    <t xml:space="preserve">      2150605 安全监管监察专项</t>
  </si>
  <si>
    <t xml:space="preserve">      2150699 其他安全生产监管支出</t>
  </si>
  <si>
    <t xml:space="preserve">    21507 国有资产监管</t>
  </si>
  <si>
    <t xml:space="preserve">      2150702 一般行政管理事务</t>
  </si>
  <si>
    <t xml:space="preserve">    21508 支持中小企业发展和管理支出</t>
  </si>
  <si>
    <t xml:space="preserve">      2150802 一般行政管理事务</t>
  </si>
  <si>
    <t xml:space="preserve">      2150805 中小企业发展专项</t>
  </si>
  <si>
    <t xml:space="preserve">      2150899 其他支持中小企业发展和管理支出</t>
  </si>
  <si>
    <t xml:space="preserve">    21599 其他资源勘探信息等支出</t>
  </si>
  <si>
    <t xml:space="preserve">      2159904 技术改造支出</t>
  </si>
  <si>
    <t xml:space="preserve">      2159999 其他资源勘探信息等支出</t>
  </si>
  <si>
    <t xml:space="preserve">    21602 商业流通事务</t>
  </si>
  <si>
    <t xml:space="preserve">      2160299 其他商业流通事务支出</t>
  </si>
  <si>
    <t xml:space="preserve">    21605 旅游业管理与服务支出</t>
  </si>
  <si>
    <t xml:space="preserve">      2160502 一般行政管理事务</t>
  </si>
  <si>
    <t xml:space="preserve">      2160504 旅游宣传</t>
  </si>
  <si>
    <t xml:space="preserve">      2160505 旅游行业业务管理</t>
  </si>
  <si>
    <t xml:space="preserve">      2160599 其他旅游业管理与服务支出</t>
  </si>
  <si>
    <t xml:space="preserve">    21606 涉外发展服务支出</t>
  </si>
  <si>
    <t xml:space="preserve">      2160699 其他涉外发展服务支出</t>
  </si>
  <si>
    <t xml:space="preserve">    21699 其他商业服务业等支出</t>
  </si>
  <si>
    <t xml:space="preserve">      2169901 服务业基础设施建设</t>
  </si>
  <si>
    <t xml:space="preserve">      2169999 其他商业服务业等支出</t>
  </si>
  <si>
    <t xml:space="preserve">    21702 金融部门监管支出</t>
  </si>
  <si>
    <t xml:space="preserve">      2170299 金融部门其他监管支出</t>
  </si>
  <si>
    <t xml:space="preserve">    21901 一般公共服务</t>
  </si>
  <si>
    <t xml:space="preserve">    21902 教育</t>
  </si>
  <si>
    <t xml:space="preserve">    21904 医疗卫生</t>
  </si>
  <si>
    <t xml:space="preserve">    21999 其他支出</t>
  </si>
  <si>
    <t xml:space="preserve">  220 自然资源海洋气象等支出</t>
  </si>
  <si>
    <t xml:space="preserve">    22001 国土资源事务</t>
  </si>
  <si>
    <t xml:space="preserve">      2200102 一般行政管理事务</t>
  </si>
  <si>
    <t xml:space="preserve">      2200105 土地资源调查</t>
  </si>
  <si>
    <r>
      <t xml:space="preserve">      2200106</t>
    </r>
    <r>
      <rPr>
        <sz val="12"/>
        <rFont val="宋体"/>
        <family val="0"/>
      </rPr>
      <t xml:space="preserve"> 土地资源利用与保护</t>
    </r>
  </si>
  <si>
    <t xml:space="preserve">      2200110 国土整治</t>
  </si>
  <si>
    <t xml:space="preserve">      2200199 其他自然资源事务支出</t>
  </si>
  <si>
    <t xml:space="preserve">    22004 地震事务</t>
  </si>
  <si>
    <t xml:space="preserve">      2200404 地震监测</t>
  </si>
  <si>
    <t xml:space="preserve">      2200407 地震应急救援</t>
  </si>
  <si>
    <t xml:space="preserve">      2200410 防震减灾基础管理</t>
  </si>
  <si>
    <t xml:space="preserve">    22005 气象事务</t>
  </si>
  <si>
    <t xml:space="preserve">      2200509 气象服务</t>
  </si>
  <si>
    <t xml:space="preserve">    22101 保障性安居工程支出</t>
  </si>
  <si>
    <r>
      <t xml:space="preserve">      2210103</t>
    </r>
    <r>
      <rPr>
        <sz val="12"/>
        <rFont val="宋体"/>
        <family val="0"/>
      </rPr>
      <t xml:space="preserve"> 棚户区改造</t>
    </r>
  </si>
  <si>
    <t xml:space="preserve">      2210105 农村危房改造</t>
  </si>
  <si>
    <r>
      <t xml:space="preserve">      22101</t>
    </r>
    <r>
      <rPr>
        <sz val="12"/>
        <rFont val="宋体"/>
        <family val="0"/>
      </rPr>
      <t>99</t>
    </r>
    <r>
      <rPr>
        <sz val="12"/>
        <rFont val="宋体"/>
        <family val="0"/>
      </rPr>
      <t xml:space="preserve"> 其他保障性安居工程支出</t>
    </r>
  </si>
  <si>
    <t xml:space="preserve">    22102 住房改革支出</t>
  </si>
  <si>
    <t xml:space="preserve">      2210203 购房补贴</t>
  </si>
  <si>
    <t xml:space="preserve">    22103 城乡社区住宅</t>
  </si>
  <si>
    <t xml:space="preserve">      2210399 其他城乡社区住宅支出</t>
  </si>
  <si>
    <r>
      <t xml:space="preserve">    224</t>
    </r>
    <r>
      <rPr>
        <sz val="12"/>
        <rFont val="宋体"/>
        <family val="0"/>
      </rPr>
      <t>01 应急管理事务</t>
    </r>
  </si>
  <si>
    <r>
      <t xml:space="preserve">      2240102</t>
    </r>
    <r>
      <rPr>
        <sz val="12"/>
        <rFont val="宋体"/>
        <family val="0"/>
      </rPr>
      <t xml:space="preserve"> 一般行政管理事务</t>
    </r>
  </si>
  <si>
    <r>
      <t xml:space="preserve">      2240104</t>
    </r>
    <r>
      <rPr>
        <sz val="12"/>
        <rFont val="宋体"/>
        <family val="0"/>
      </rPr>
      <t xml:space="preserve"> 灾害风险防治</t>
    </r>
  </si>
  <si>
    <t xml:space="preserve">      2240106 安全监管</t>
  </si>
  <si>
    <t xml:space="preserve">      2240108 应急救援</t>
  </si>
  <si>
    <t xml:space="preserve">      2240109 应急管理</t>
  </si>
  <si>
    <t xml:space="preserve">      2240199 其他应急管理支出</t>
  </si>
  <si>
    <r>
      <t xml:space="preserve">    224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消防事务</t>
    </r>
  </si>
  <si>
    <r>
      <t xml:space="preserve">      2240204</t>
    </r>
    <r>
      <rPr>
        <sz val="12"/>
        <rFont val="宋体"/>
        <family val="0"/>
      </rPr>
      <t xml:space="preserve"> 消防应急救援</t>
    </r>
  </si>
  <si>
    <r>
      <t xml:space="preserve">    224</t>
    </r>
    <r>
      <rPr>
        <sz val="12"/>
        <rFont val="宋体"/>
        <family val="0"/>
      </rPr>
      <t>0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地震事务</t>
    </r>
  </si>
  <si>
    <r>
      <t xml:space="preserve">      2240205</t>
    </r>
    <r>
      <rPr>
        <sz val="12"/>
        <rFont val="宋体"/>
        <family val="0"/>
      </rPr>
      <t xml:space="preserve"> 地震监测</t>
    </r>
  </si>
  <si>
    <r>
      <t xml:space="preserve">    224</t>
    </r>
    <r>
      <rPr>
        <sz val="12"/>
        <rFont val="宋体"/>
        <family val="0"/>
      </rPr>
      <t>0</t>
    </r>
    <r>
      <rPr>
        <sz val="12"/>
        <rFont val="宋体"/>
        <family val="0"/>
      </rPr>
      <t>6</t>
    </r>
    <r>
      <rPr>
        <sz val="12"/>
        <rFont val="宋体"/>
        <family val="0"/>
      </rPr>
      <t xml:space="preserve"> 自然灾害防治</t>
    </r>
  </si>
  <si>
    <r>
      <t xml:space="preserve">      2240699</t>
    </r>
    <r>
      <rPr>
        <sz val="12"/>
        <rFont val="宋体"/>
        <family val="0"/>
      </rPr>
      <t xml:space="preserve"> 其他自然灾害防治支出</t>
    </r>
  </si>
  <si>
    <t xml:space="preserve">    22201 粮油事务</t>
  </si>
  <si>
    <t xml:space="preserve">      2220115 粮食风险基金</t>
  </si>
  <si>
    <t xml:space="preserve">      2220199 其他粮油事务支出</t>
  </si>
  <si>
    <t xml:space="preserve">    22902 年初预留</t>
  </si>
  <si>
    <t xml:space="preserve">    22999 其他支出</t>
  </si>
  <si>
    <t xml:space="preserve">      2299901 其他支出</t>
  </si>
  <si>
    <t xml:space="preserve">    23203 地方政府一般债务付息支出</t>
  </si>
  <si>
    <t xml:space="preserve">      2320301 地方政府一般债券付息支出</t>
  </si>
  <si>
    <t xml:space="preserve">    23303 地方政府一般债务发行费用支出</t>
  </si>
  <si>
    <t>三、预备费及周转金</t>
  </si>
  <si>
    <t xml:space="preserve">  项目支出预算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</si>
  <si>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231 债务还本支出</t>
    </r>
  </si>
  <si>
    <t xml:space="preserve">    2310399 地方政府其他一般债务还本支出</t>
  </si>
  <si>
    <t>表六：</t>
  </si>
  <si>
    <t>北辰区2019年一般公共财政镇及园区支出调整预计执行情况表（项级科目）</t>
  </si>
  <si>
    <t xml:space="preserve">  四、镇及园区体制资金</t>
  </si>
  <si>
    <t xml:space="preserve">  201 人大事务</t>
  </si>
  <si>
    <r>
      <t xml:space="preserve">    2010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政府办公厅（室）及相关机构事务</t>
    </r>
  </si>
  <si>
    <t xml:space="preserve">      2010107 人大代表履职能力提升</t>
  </si>
  <si>
    <t xml:space="preserve">      2010303 机关服务</t>
  </si>
  <si>
    <r>
      <t xml:space="preserve">      2010399</t>
    </r>
    <r>
      <rPr>
        <sz val="12"/>
        <rFont val="宋体"/>
        <family val="0"/>
      </rPr>
      <t xml:space="preserve"> 其他政府办公厅（室）及相关机构事务支出</t>
    </r>
  </si>
  <si>
    <t xml:space="preserve">      2010501 行政运行</t>
  </si>
  <si>
    <t xml:space="preserve">      2040604 基层司法业务</t>
  </si>
  <si>
    <r>
      <t xml:space="preserve">    20801</t>
    </r>
    <r>
      <rPr>
        <sz val="12"/>
        <rFont val="宋体"/>
        <family val="0"/>
      </rPr>
      <t xml:space="preserve"> 人力资源和社会保障管理事务</t>
    </r>
  </si>
  <si>
    <r>
      <t xml:space="preserve">      2080111</t>
    </r>
    <r>
      <rPr>
        <sz val="12"/>
        <rFont val="宋体"/>
        <family val="0"/>
      </rPr>
      <t xml:space="preserve"> 公共就业服务和职业技能鉴定机构</t>
    </r>
  </si>
  <si>
    <t xml:space="preserve">      2080112 劳动人事争议调解仲裁</t>
  </si>
  <si>
    <r>
      <t xml:space="preserve">      2080199</t>
    </r>
    <r>
      <rPr>
        <sz val="12"/>
        <rFont val="宋体"/>
        <family val="0"/>
      </rPr>
      <t xml:space="preserve"> 其他人力资源和社会保障管理事务支出</t>
    </r>
  </si>
  <si>
    <r>
      <t xml:space="preserve">    21001</t>
    </r>
    <r>
      <rPr>
        <sz val="12"/>
        <rFont val="宋体"/>
        <family val="0"/>
      </rPr>
      <t xml:space="preserve"> 卫生健康管理事务</t>
    </r>
  </si>
  <si>
    <t xml:space="preserve">      2101101 行政单位医疗</t>
  </si>
  <si>
    <t xml:space="preserve">      2101102 事业单位医疗</t>
  </si>
  <si>
    <t xml:space="preserve">      2101103 公务员医疗补助</t>
  </si>
  <si>
    <r>
      <t xml:space="preserve">    211</t>
    </r>
    <r>
      <rPr>
        <sz val="12"/>
        <rFont val="宋体"/>
        <family val="0"/>
      </rPr>
      <t>99</t>
    </r>
    <r>
      <rPr>
        <sz val="12"/>
        <rFont val="宋体"/>
        <family val="0"/>
      </rPr>
      <t xml:space="preserve"> 污染防治</t>
    </r>
  </si>
  <si>
    <r>
      <t xml:space="preserve">      2119901</t>
    </r>
    <r>
      <rPr>
        <sz val="12"/>
        <rFont val="宋体"/>
        <family val="0"/>
      </rPr>
      <t xml:space="preserve"> 其他节能环保支出</t>
    </r>
  </si>
  <si>
    <r>
      <t xml:space="preserve">    21301</t>
    </r>
    <r>
      <rPr>
        <sz val="12"/>
        <rFont val="宋体"/>
        <family val="0"/>
      </rPr>
      <t xml:space="preserve"> 农业</t>
    </r>
  </si>
  <si>
    <r>
      <t xml:space="preserve">      2130199</t>
    </r>
    <r>
      <rPr>
        <sz val="12"/>
        <rFont val="宋体"/>
        <family val="0"/>
      </rPr>
      <t xml:space="preserve"> 其他农业支出</t>
    </r>
  </si>
  <si>
    <t xml:space="preserve">    21501 资源勘探开发</t>
  </si>
  <si>
    <t xml:space="preserve">      2150102 一般行政管理事务</t>
  </si>
  <si>
    <t xml:space="preserve">      2150801 行政运行</t>
  </si>
  <si>
    <r>
      <t xml:space="preserve">    224</t>
    </r>
    <r>
      <rPr>
        <sz val="12"/>
        <rFont val="宋体"/>
        <family val="0"/>
      </rPr>
      <t>0</t>
    </r>
    <r>
      <rPr>
        <sz val="12"/>
        <rFont val="宋体"/>
        <family val="0"/>
      </rPr>
      <t>7</t>
    </r>
    <r>
      <rPr>
        <sz val="12"/>
        <rFont val="宋体"/>
        <family val="0"/>
      </rPr>
      <t xml:space="preserve"> 自然灾害救灾及恢复重建工作</t>
    </r>
  </si>
  <si>
    <r>
      <t xml:space="preserve">      2240</t>
    </r>
    <r>
      <rPr>
        <sz val="12"/>
        <rFont val="宋体"/>
        <family val="0"/>
      </rPr>
      <t>702</t>
    </r>
    <r>
      <rPr>
        <sz val="12"/>
        <rFont val="宋体"/>
        <family val="0"/>
      </rPr>
      <t xml:space="preserve"> 自然灾害生活补助</t>
    </r>
  </si>
  <si>
    <t xml:space="preserve">    23002 一般性转移支付</t>
  </si>
  <si>
    <t xml:space="preserve">      2300299 其他一般性转移支付支出</t>
  </si>
  <si>
    <t xml:space="preserve">    23011 一般性转移支付</t>
  </si>
  <si>
    <t xml:space="preserve">      2301101 其他一般性转移支付支出</t>
  </si>
  <si>
    <t>表八</t>
  </si>
  <si>
    <r>
      <t>北辰区201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年一般公共财政本级支出调整预算表（按政府经济分类）</t>
    </r>
  </si>
  <si>
    <t>项目名称</t>
  </si>
  <si>
    <t>一、基本支出</t>
  </si>
  <si>
    <t>其他对事业单位补助</t>
  </si>
  <si>
    <t>机关工资福利支出小计</t>
  </si>
  <si>
    <t>对事业单位资本性补助小计</t>
  </si>
  <si>
    <t>工资奖金津补贴</t>
  </si>
  <si>
    <t>资本性支出（一）</t>
  </si>
  <si>
    <t>社会保障缴费</t>
  </si>
  <si>
    <t>资本性支出（二）</t>
  </si>
  <si>
    <t>住房公积金</t>
  </si>
  <si>
    <t>对个人和家庭的补助小计</t>
  </si>
  <si>
    <t>其他工资福利支出</t>
  </si>
  <si>
    <t>社会福利和救助</t>
  </si>
  <si>
    <t>机关商品服务支出小计</t>
  </si>
  <si>
    <t>助学金</t>
  </si>
  <si>
    <t>办公经费</t>
  </si>
  <si>
    <t>个人农业生产补贴</t>
  </si>
  <si>
    <t>会议费</t>
  </si>
  <si>
    <t>离退休费</t>
  </si>
  <si>
    <t>培训费</t>
  </si>
  <si>
    <t>其他对个人和家庭补助</t>
  </si>
  <si>
    <t>专用材料购置费</t>
  </si>
  <si>
    <t>预备费及预留小计</t>
  </si>
  <si>
    <t>委托业务费</t>
  </si>
  <si>
    <t>预备费</t>
  </si>
  <si>
    <t>公务接待费</t>
  </si>
  <si>
    <t>预留</t>
  </si>
  <si>
    <t>因公出国（境）费用</t>
  </si>
  <si>
    <t>二、项目支出</t>
  </si>
  <si>
    <t>公务用车运行维护费</t>
  </si>
  <si>
    <t>机关工资福利支出</t>
  </si>
  <si>
    <t xml:space="preserve">   维修（护）费</t>
  </si>
  <si>
    <t>机关商品服务支出</t>
  </si>
  <si>
    <t>其他商品和服务支出</t>
  </si>
  <si>
    <t>机关资本性支出（一）</t>
  </si>
  <si>
    <t>机关资本性支出（一）小计</t>
  </si>
  <si>
    <t>机关资本性支出（二）</t>
  </si>
  <si>
    <r>
      <t xml:space="preserve">   </t>
    </r>
    <r>
      <rPr>
        <sz val="12"/>
        <rFont val="宋体"/>
        <family val="0"/>
      </rPr>
      <t>房屋建筑物构建</t>
    </r>
  </si>
  <si>
    <t>对事业单位经常性补助</t>
  </si>
  <si>
    <r>
      <t xml:space="preserve">   </t>
    </r>
    <r>
      <rPr>
        <sz val="12"/>
        <rFont val="宋体"/>
        <family val="0"/>
      </rPr>
      <t>基础设施建设</t>
    </r>
  </si>
  <si>
    <t>对事业单位资本性补助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</si>
  <si>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公务用车购置</t>
    </r>
  </si>
  <si>
    <t>对企业补助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</si>
  <si>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土地证迁补偿和安置支出</t>
    </r>
  </si>
  <si>
    <t>对企业资本性支出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</si>
  <si>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设备购置</t>
    </r>
  </si>
  <si>
    <t>对个人和家庭的补助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</si>
  <si>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大型修缮</t>
    </r>
  </si>
  <si>
    <t>对社会保障基金补助</t>
  </si>
  <si>
    <t xml:space="preserve">   其他资本性支出</t>
  </si>
  <si>
    <t>债务利息及费用支出</t>
  </si>
  <si>
    <t>对事业单位经常性补助小计</t>
  </si>
  <si>
    <t>其他支出</t>
  </si>
  <si>
    <t>工资福利支出</t>
  </si>
  <si>
    <t>商品和服务支出</t>
  </si>
  <si>
    <t>备注：根据《财政部关于印发&lt;支出经济分类科目改革方案&gt;的通知》（财预[2017]98号）文件要求，自2018年起按照政府经济分类编制预算。</t>
  </si>
  <si>
    <t>北辰区2019年一般公共财政本级基本支出调整预算表（按政府经济分类）</t>
  </si>
  <si>
    <t>表十：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</si>
  <si>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年市对区一般公共预算税收返还和转移支付表</t>
    </r>
  </si>
  <si>
    <t>功能科目</t>
  </si>
  <si>
    <t>市专款</t>
  </si>
  <si>
    <t>预计结转结余</t>
  </si>
  <si>
    <t>完成%</t>
  </si>
  <si>
    <t>指标数</t>
  </si>
  <si>
    <t>分配数</t>
  </si>
  <si>
    <t>拨款金额</t>
  </si>
  <si>
    <t>一、市对区税收返还</t>
  </si>
  <si>
    <t xml:space="preserve">  增值税和消费税税收返还支出</t>
  </si>
  <si>
    <t xml:space="preserve">  所得税基数返还支出</t>
  </si>
  <si>
    <t xml:space="preserve">  营改增基数返还支出</t>
  </si>
  <si>
    <t>二、市对区转移支付</t>
  </si>
  <si>
    <t>其中：2018年度铁路护路联防专项奖励经费-2019-39号</t>
  </si>
  <si>
    <t>2013602-一般行政管理事务</t>
  </si>
  <si>
    <t xml:space="preserve"> </t>
  </si>
  <si>
    <t>区级公路养护资金-2018-161号</t>
  </si>
  <si>
    <t>2140106-公路养护</t>
  </si>
  <si>
    <t>乡村公路日常养护资金-2018-161号</t>
  </si>
  <si>
    <r>
      <rPr>
        <sz val="12"/>
        <rFont val="宋体"/>
        <family val="0"/>
      </rPr>
      <t>乡村公路养护管理资金</t>
    </r>
    <r>
      <rPr>
        <sz val="12"/>
        <rFont val="宋体"/>
        <family val="0"/>
      </rPr>
      <t>-2018-161</t>
    </r>
    <r>
      <rPr>
        <sz val="12"/>
        <rFont val="宋体"/>
        <family val="0"/>
      </rPr>
      <t>号</t>
    </r>
  </si>
  <si>
    <t>城市管理维护专项资金-2019-115号</t>
  </si>
  <si>
    <t>2120501-城乡社区环境卫生</t>
  </si>
  <si>
    <t>2019年铁路道口监护经费-2019-35号</t>
  </si>
  <si>
    <t>2140206-铁路安全</t>
  </si>
  <si>
    <t>城市管理“以奖代补”专项资金-2019-69号</t>
  </si>
  <si>
    <t>2120399-其他城乡社区公共设施支出</t>
  </si>
  <si>
    <t>2018-2019年采暖区居民冬季清洁取暖市级运行补贴资金-2019-6号</t>
  </si>
  <si>
    <t>关于提前下达2019年外经贸发展资金的通知-2018-123号</t>
  </si>
  <si>
    <t>2160699-其他涉外发展服务支出</t>
  </si>
  <si>
    <t>预拨中央财政2019年服务业发展资金（第二批）-2019-20号</t>
  </si>
  <si>
    <t>2160299-其他商业流通事务支出</t>
  </si>
  <si>
    <t>2018-2019采暖期居民冬季清洁取暖市级运行补贴资金-2018-253号</t>
  </si>
  <si>
    <t>2300899-其他调出资金</t>
  </si>
  <si>
    <t>2019年北方地区冬季清洁取暖试点中央资金预算-2019-104号</t>
  </si>
  <si>
    <t>2111199-其他污染减排支出</t>
  </si>
  <si>
    <t>2019年生态环境治理科技重大专项补贴资金-2019-122号</t>
  </si>
  <si>
    <t>2060402-应用技术研究与开发</t>
  </si>
  <si>
    <t>2019年企业研发投入后补助资金-2019-124号</t>
  </si>
  <si>
    <t>2019年第二批智能制造专项资金-2019-127号</t>
  </si>
  <si>
    <t>2060403-产业技术研究与开发</t>
  </si>
  <si>
    <t>2019年第三批智能制造专项资金-2019-131号</t>
  </si>
  <si>
    <t>中小企业发展专项资金-2019-17号</t>
  </si>
  <si>
    <t>2150805-中小企业发展专项</t>
  </si>
  <si>
    <t>2019年技术研发项目补助资金-2019-32号</t>
  </si>
  <si>
    <t>2019年技术创新引导项目补助资金-2019-33号</t>
  </si>
  <si>
    <t>2019年创新平台补助资金-2019-34号</t>
  </si>
  <si>
    <t>关于下达2018年度和部分2016、2017年度首次获批国家高企奖励资金预算的通知-2019-35号</t>
  </si>
  <si>
    <t>装备改造升级专项资金-2019-37号</t>
  </si>
  <si>
    <t>智能制造专项资金-2019-39号</t>
  </si>
  <si>
    <t>安全生产专项资金-2019-40号</t>
  </si>
  <si>
    <t>2240106-安全监管</t>
  </si>
  <si>
    <t>2019年第一批大气污染防治专项资金-2019-41号</t>
  </si>
  <si>
    <t>2110301-大气</t>
  </si>
  <si>
    <t>天津市智能终端装备产业技术创新战略联盟-2019-57</t>
  </si>
  <si>
    <t>2019年第二批天津市节能专项资金-2019-73号</t>
  </si>
  <si>
    <t>2019年技术研发项目资金-2019-82号</t>
  </si>
  <si>
    <t>2019年“杀手锏”产品研发项目补助资金-2019-88号</t>
  </si>
  <si>
    <t>2019年技术转移示范机构建设项目补助资金-2019-89号</t>
  </si>
  <si>
    <t>大气污染防治专职网格监督员补助-2019-8号</t>
  </si>
  <si>
    <t>2019年科技型企业股份制改造补贴资金-2019-91号</t>
  </si>
  <si>
    <t>2019年科技领军（培育）企业重大项目补贴资金-2019-92号</t>
  </si>
  <si>
    <t>2019年科技领军企业品牌培育补贴资金-2019-93号</t>
  </si>
  <si>
    <t>2019年工程技术中心评估奖励资金-2019-94号</t>
  </si>
  <si>
    <t>2019年国家级孵化器奖励资金-2019-95号</t>
  </si>
  <si>
    <t>2019年种业科技重大专项补贴资金-2019-96号</t>
  </si>
  <si>
    <t>文体传媒（2018）123号</t>
  </si>
  <si>
    <t>2079999-其他文化体育与传媒支出</t>
  </si>
  <si>
    <t>地方公共文化服务体系建设绩效奖励资金（2018）137号</t>
  </si>
  <si>
    <t>2070109-群众文化</t>
  </si>
  <si>
    <t>义务教育经费保障机制补助（2018）139号</t>
  </si>
  <si>
    <t>2050203-初中教育</t>
  </si>
  <si>
    <t>中等职业学校资助政策体系补助（2018）139号</t>
  </si>
  <si>
    <t>2050302-中专教育</t>
  </si>
  <si>
    <t>全国校园足球特色学校（2018）139号</t>
  </si>
  <si>
    <t>2059999-其他教育支出</t>
  </si>
  <si>
    <t>进程务工农民工随迁子女接受义务教育转移支付（2018）139号</t>
  </si>
  <si>
    <t>市对区财政教育一般性转移支付（2018）139号</t>
  </si>
  <si>
    <t>2050202-小学教育</t>
  </si>
  <si>
    <t>基层公共文化服务体系建设专项（2018）140号</t>
  </si>
  <si>
    <t>2019年技术研发结转项目资金-2019-11号</t>
  </si>
  <si>
    <t>2060303-高技术研究</t>
  </si>
  <si>
    <t>2019年普惠性民办幼儿园生均经费市级补助-2019-13号</t>
  </si>
  <si>
    <t>2050201-学前教育</t>
  </si>
  <si>
    <t>市场监管局人员及公用经费-2019-18号</t>
  </si>
  <si>
    <t>2101101-行政单位医疗</t>
  </si>
  <si>
    <t>2013801-行政运行</t>
  </si>
  <si>
    <t>2013850-事业运行</t>
  </si>
  <si>
    <t>2101103-公务员医疗补助</t>
  </si>
  <si>
    <t>2080506-机关事业单位职业年金缴费支出</t>
  </si>
  <si>
    <t>2101199-其他行政事业单位医疗支出</t>
  </si>
  <si>
    <t>2080505-机关事业单位基本养老保险缴费支出</t>
  </si>
  <si>
    <t>2101102-事业单位医疗</t>
  </si>
  <si>
    <t>2019年幼儿园教师和保育员能力提升计划专项资金-2019-21号</t>
  </si>
  <si>
    <t>拨付2019年第一批知识产权专项资金-2019-22号</t>
  </si>
  <si>
    <t>2011409-知识产权宏观管理</t>
  </si>
  <si>
    <t>下达2019年城乡义务教育补助经费预算-2019-27号</t>
  </si>
  <si>
    <t>2050701-特殊学校教育</t>
  </si>
  <si>
    <t>下达中央补助地方公共文化服务体系建设绩效奖励资金-2019-29号</t>
  </si>
  <si>
    <t>第三批国家公共文化服务体系示范区-2019-33号</t>
  </si>
  <si>
    <t>财政教育经费增长的区安排奖补等专项资金-2019-40号</t>
  </si>
  <si>
    <t>下达中央补助地方公共文化服务体系建设专项资金-2019-43号</t>
  </si>
  <si>
    <t>2070899-其他广播电视支出</t>
  </si>
  <si>
    <t>拨付2019年内地民族高中班学校生均经费-2019-4号</t>
  </si>
  <si>
    <t>2050204-高中教育</t>
  </si>
  <si>
    <t>拨付2019年部分市对区财政教育转移支付资金-2019-5号</t>
  </si>
  <si>
    <t>区级融媒体中心建设项目补助资金-2019-67号</t>
  </si>
  <si>
    <t>2079902-宣传文化发展专项支出</t>
  </si>
  <si>
    <t>2019年普惠性民办幼儿园生均经费补助市级资金-2019-69号</t>
  </si>
  <si>
    <t>2019年第二批知识产权专项资金-2019-79号</t>
  </si>
  <si>
    <t>2011406-专利试点和产业化推进</t>
  </si>
  <si>
    <t>2019年第三批知识产权专项资金-2019-87号</t>
  </si>
  <si>
    <t>农业资源及生态保护补助资金（2018）68号</t>
  </si>
  <si>
    <t>2139999-其他农林水支出</t>
  </si>
  <si>
    <t>农业生产发展资金（2018）68号</t>
  </si>
  <si>
    <t>农业补贴（农业保险保费补贴）（2018）69号</t>
  </si>
  <si>
    <t>2130803-农业保险保费补贴</t>
  </si>
  <si>
    <t>2019年国内渔业捕捞和养殖业油价补贴-2018-72号</t>
  </si>
  <si>
    <t>2130148-成品油价格改革对渔业的补贴</t>
  </si>
  <si>
    <t>棉花补贴-2018-73号</t>
  </si>
  <si>
    <t>2130122-农业生产支持补贴</t>
  </si>
  <si>
    <t>农机购置补贴-2018-73号</t>
  </si>
  <si>
    <t>强制免疫“先打后补”-2018-73号</t>
  </si>
  <si>
    <t>2130108-病虫害控制</t>
  </si>
  <si>
    <t>村级动物防疫员补助-2018-73号</t>
  </si>
  <si>
    <t>经济发达镇改革补贴-2018-73号</t>
  </si>
  <si>
    <t>2130126-农村公益事业</t>
  </si>
  <si>
    <t>村干部报酬补助-2018-73号</t>
  </si>
  <si>
    <t>2130705-对村民委员会和村党支部的补助</t>
  </si>
  <si>
    <t>生猪养殖和屠宰无害化处理-2018-73号</t>
  </si>
  <si>
    <t>菜篮子蔬菜产品生产-2018-73号</t>
  </si>
  <si>
    <t>农业保险保费-2018-73号</t>
  </si>
  <si>
    <t>耕地地力保护-2018-73号</t>
  </si>
  <si>
    <t>2019年农业生产发展资金和农业防疫救灾资金-2019-15号</t>
  </si>
  <si>
    <t>2019年农业生产发展资金及农业防疫及救灾资金-2019-18号</t>
  </si>
  <si>
    <t>2019年农业生产发展等预算资金-2019-32号</t>
  </si>
  <si>
    <t>2130135-农业资源保护修复与利用</t>
  </si>
  <si>
    <t>2130602-土地治理</t>
  </si>
  <si>
    <t>2130111-统计监测与信息服务</t>
  </si>
  <si>
    <t>2130112-农业行业业务管理</t>
  </si>
  <si>
    <t>2130124-农业组织化与产业化经营</t>
  </si>
  <si>
    <t>2019年农业生产发展预算资金-2019-36号</t>
  </si>
  <si>
    <t>非洲猪瘟监测仪器、试剂、实验耗材、消毒药品和装备购置等-2019-7号</t>
  </si>
  <si>
    <t>单位超比例安排残疾人就业养老保险补贴奖励等四项政策-2018-139号</t>
  </si>
  <si>
    <t>2081105-残疾人就业和扶贫</t>
  </si>
  <si>
    <t>离休干部社区“四就近”服务经费（2018）142号</t>
  </si>
  <si>
    <t>困难群众救助补助（2018）144号</t>
  </si>
  <si>
    <t>2089901-其他社会保障和就业支出</t>
  </si>
  <si>
    <t>2019年军队离退休干部医疗费-2018-156号</t>
  </si>
  <si>
    <t>关于提前下达2019年医疗救助转移支付指标的通知-2018-165号</t>
  </si>
  <si>
    <t>2101301-城乡医疗救助</t>
  </si>
  <si>
    <t>村卫生室实施基本药物制度-2018-166号</t>
  </si>
  <si>
    <t>2100302-乡镇卫生院</t>
  </si>
  <si>
    <t>中医中西医结合科研课题-2018-166号</t>
  </si>
  <si>
    <t>2100601-中医（民族医）药专项</t>
  </si>
  <si>
    <t>妇女儿童健康促进计划-2018-166号</t>
  </si>
  <si>
    <t>2100409-重大公共卫生专项</t>
  </si>
  <si>
    <t>基层医疗卫生机构绩效工作补助-2018-166号</t>
  </si>
  <si>
    <t>2100301-城市社区卫生机构</t>
  </si>
  <si>
    <t>重大公共服务卫生专项-2018-166号</t>
  </si>
  <si>
    <t>计划生育奖扶特扶-2018-166号</t>
  </si>
  <si>
    <t>2100717-计划生育服务</t>
  </si>
  <si>
    <t>基本公共卫生服务-2018-166号</t>
  </si>
  <si>
    <t>2100408-基本公共卫生服务</t>
  </si>
  <si>
    <t>设外医疗队专项-2018-166号</t>
  </si>
  <si>
    <t>2100201-综合医院</t>
  </si>
  <si>
    <t>医师规范化培训-2018-166号</t>
  </si>
  <si>
    <t>公共卫生项目-2018-166号</t>
  </si>
  <si>
    <t>公立医院综合改革补助-2018-166号</t>
  </si>
  <si>
    <t>关于提前下达2019年部分社会保障转移支付指标的通知</t>
  </si>
  <si>
    <t>2130804-创业担保贷款贴息</t>
  </si>
  <si>
    <t>2082602-财政对城乡居民基本养老保险基金的补助</t>
  </si>
  <si>
    <t>关于提前下达2019年城乡居民基本医疗保险补助资金的通知-2018-168号</t>
  </si>
  <si>
    <t>2101202-财政对城乡居民基本医疗保险基金的补助</t>
  </si>
  <si>
    <t>退役军人和部分优抚对象“八一”慰问金-2018-169号</t>
  </si>
  <si>
    <t>2080899-其他优抚支出</t>
  </si>
  <si>
    <t>退休企业军转干部生活补助-2018-169号</t>
  </si>
  <si>
    <t>退休企业军转干部体检费-2018-169号</t>
  </si>
  <si>
    <t>优抚对象抚恤补助-2018-169号</t>
  </si>
  <si>
    <t>一至六级残疾军人医疗补助-2018-169号</t>
  </si>
  <si>
    <t>2101499-其他优抚对象医疗支出</t>
  </si>
  <si>
    <t>其他重点优抚对象医疗补助-2018-169号</t>
  </si>
  <si>
    <t>住房保障收入核对人员-2018-170号</t>
  </si>
  <si>
    <t>2080208-基层政权和社区建设</t>
  </si>
  <si>
    <t>残疾人两项补贴-2018-170号</t>
  </si>
  <si>
    <t>2081107-残疾人生活和护理补贴</t>
  </si>
  <si>
    <t>旧楼区长效管理-2018-170号</t>
  </si>
  <si>
    <t>物业管理专职人员经费-2018-170号</t>
  </si>
  <si>
    <t>丧葬补贴-2018-170号</t>
  </si>
  <si>
    <t>2082501-其他城市生活救助</t>
  </si>
  <si>
    <t>社区居委会工作人员体检经费-2018-170号</t>
  </si>
  <si>
    <t>残疾人专职委员-2018-171号</t>
  </si>
  <si>
    <t>残疾人机动轮椅车燃油补贴-2018-171号</t>
  </si>
  <si>
    <t>残疾人托养服务补贴-2018-171号</t>
  </si>
  <si>
    <t>重度残疾人医疗救助-2018-171号</t>
  </si>
  <si>
    <t>日间照料辅导员市级补助-2018-171号</t>
  </si>
  <si>
    <t>2081199-其他残疾人事业支出</t>
  </si>
  <si>
    <t>残疾人水电气补贴-2018-171号</t>
  </si>
  <si>
    <t>残疾儿童康复救助-2018-171号</t>
  </si>
  <si>
    <t>2081104-残疾人康复</t>
  </si>
  <si>
    <t>残疾人高等教育助学金-2018-171号</t>
  </si>
  <si>
    <t>残疾人通讯信息消费补贴-2018-171号</t>
  </si>
  <si>
    <t>残疾人取暖补贴-2018-171号</t>
  </si>
  <si>
    <t>2019年医疗卫生专项预算-2019-105号</t>
  </si>
  <si>
    <t>2100402-卫生监督机构</t>
  </si>
  <si>
    <t>社会救助工作经费市级补助资金-2019-110号</t>
  </si>
  <si>
    <t>2080202-一般行政管理事务</t>
  </si>
  <si>
    <t>2019年旧楼区长效管理市级补助资金-2019-114号</t>
  </si>
  <si>
    <t>2019年医疗卫生专项预算-2019-115号</t>
  </si>
  <si>
    <t>结算2018年军队离退休干部医疗费-2019-117号</t>
  </si>
  <si>
    <t>下达和归集2019年城乡居民基本医疗保险财政补助资金-2019-119号</t>
  </si>
  <si>
    <t>优抚对象抚恤补助资金-2019-120号</t>
  </si>
  <si>
    <t>计划生育家庭特别扶助-2019-125号</t>
  </si>
  <si>
    <t>标准化全科门诊建设-2019-125号</t>
  </si>
  <si>
    <t>2019年困难群众救助补助资金-2019-127号</t>
  </si>
  <si>
    <t>达2019年特奥项目备战训练经费-2019-12号</t>
  </si>
  <si>
    <t>2081106-残疾人体育</t>
  </si>
  <si>
    <t>退役士兵保险接续中央补助资金-2019-130号</t>
  </si>
  <si>
    <t>2080999-其他退役安置支出</t>
  </si>
  <si>
    <t>2019年社区建设经费-2019-136号</t>
  </si>
  <si>
    <t>社会救助工作经费市级补助资金-2019-138号</t>
  </si>
  <si>
    <t>2018年度计划生育工作责任目标考核达标奖励资金-2019-19号</t>
  </si>
  <si>
    <t>2019年院外医疗队专项资金细化拨付-2019-29号</t>
  </si>
  <si>
    <t>2019年对口帮扶专项资金细化拨付-2019-29号</t>
  </si>
  <si>
    <t>下达2019年残疾人家庭和社区无障碍改造补助经费-2019-33号</t>
  </si>
  <si>
    <t>2019年困难群众救助补助资金-2019-43号</t>
  </si>
  <si>
    <t>2081901-城市最低生活保障金支出</t>
  </si>
  <si>
    <t>拨付2019年中央财政卫生健康转移支付资金-2019-51号1</t>
  </si>
  <si>
    <t>基层医疗卫生机构绩效工资补助结算-2019-53号</t>
  </si>
  <si>
    <t>重点对象危房改造-2019-54号</t>
  </si>
  <si>
    <t>2210105-农村危房改造</t>
  </si>
  <si>
    <t>2019年市级医疗救助资金和归集市区两级医疗救助资金-2019-55号</t>
  </si>
  <si>
    <t>北辰中医医院-2019-57号</t>
  </si>
  <si>
    <t>爱国卫生工作专项经费-2019-58号</t>
  </si>
  <si>
    <t>下达2019年社区居委会办公经费市级补助资金-2019-61号</t>
  </si>
  <si>
    <t>2019年城乡居民基本医疗保险财政补助资金-2019-63号</t>
  </si>
  <si>
    <t>核定2019年旧楼区长效管理市级财政补助资金-2019-64号</t>
  </si>
  <si>
    <t>2019年计划生育转移支付资金-2019-66号</t>
  </si>
  <si>
    <t>残疾人自主创业补贴金额-2019-6号</t>
  </si>
  <si>
    <t>残疾人个体工商户保险补贴金额-2019-6号</t>
  </si>
  <si>
    <t>下达退役军人及部分优抚对象“八一”慰问经费-2019-71号</t>
  </si>
  <si>
    <t>2019年城乡居民基本医疗保险财政补助资金-2019-76号</t>
  </si>
  <si>
    <t>2019年退役安置补助经费-2019-7号</t>
  </si>
  <si>
    <t>2080901-退役士兵安置</t>
  </si>
  <si>
    <t>残疾人康复救助资金-2019-80号</t>
  </si>
  <si>
    <t>残疾人事业发展补助资金-2019-81号</t>
  </si>
  <si>
    <t>基层卫生人才能力提升培训-2019-88号</t>
  </si>
  <si>
    <t>公立医院综合改革补助-2019-88号</t>
  </si>
  <si>
    <t>质量控制中心-2019-88号</t>
  </si>
  <si>
    <t>住院医师规范化培训-2019-88号</t>
  </si>
  <si>
    <t>2019年百岁老人营养补助资金-2019-92号</t>
  </si>
  <si>
    <t>2081002-老年福利</t>
  </si>
  <si>
    <t>2019年医疗卫生专项预算-2019-98号</t>
  </si>
  <si>
    <t>津财预指（2019）100号</t>
  </si>
  <si>
    <t>2040201-行政运行</t>
  </si>
  <si>
    <t>2019年农业转移人口市民化奖励资金-2019-8号</t>
  </si>
  <si>
    <t>2299901-其他支出</t>
  </si>
  <si>
    <t>2019年度重点生态保护修复治理专项资金-2019-15号</t>
  </si>
  <si>
    <t>2200199-其他自然资源事务支出</t>
  </si>
  <si>
    <r>
      <t>基本公共卫生服务补助-2019-</t>
    </r>
    <r>
      <rPr>
        <sz val="12"/>
        <rFont val="宋体"/>
        <family val="0"/>
      </rPr>
      <t>79</t>
    </r>
    <r>
      <rPr>
        <sz val="12"/>
        <rFont val="宋体"/>
        <family val="0"/>
      </rPr>
      <t>号</t>
    </r>
  </si>
  <si>
    <r>
      <t>免费孕前优生健康检查补助结算-2019-5</t>
    </r>
    <r>
      <rPr>
        <sz val="12"/>
        <rFont val="宋体"/>
        <family val="0"/>
      </rPr>
      <t>3</t>
    </r>
    <r>
      <rPr>
        <sz val="12"/>
        <rFont val="宋体"/>
        <family val="0"/>
      </rPr>
      <t>号</t>
    </r>
  </si>
  <si>
    <t>“新型企业家培养工程”专项资助经费-2019-64号</t>
  </si>
  <si>
    <r>
      <t>2060899</t>
    </r>
    <r>
      <rPr>
        <sz val="12"/>
        <rFont val="宋体"/>
        <family val="0"/>
      </rPr>
      <t>-其他科技交流与合作支出</t>
    </r>
  </si>
  <si>
    <r>
      <t xml:space="preserve">      </t>
    </r>
    <r>
      <rPr>
        <sz val="12"/>
        <rFont val="宋体"/>
        <family val="0"/>
      </rPr>
      <t>收回2018年度农村环境整治项目补贴资金(第二阶段)</t>
    </r>
    <r>
      <rPr>
        <sz val="12"/>
        <rFont val="宋体"/>
        <family val="0"/>
      </rPr>
      <t>-2019-105号</t>
    </r>
  </si>
  <si>
    <r>
      <t>2110</t>
    </r>
    <r>
      <rPr>
        <sz val="12"/>
        <rFont val="宋体"/>
        <family val="0"/>
      </rPr>
      <t>402</t>
    </r>
    <r>
      <rPr>
        <sz val="12"/>
        <rFont val="宋体"/>
        <family val="0"/>
      </rPr>
      <t>-农村环境保护</t>
    </r>
  </si>
  <si>
    <t>天津市北辰区2019年政府性基金</t>
  </si>
  <si>
    <r>
      <t>编制时间：2019</t>
    </r>
    <r>
      <rPr>
        <b/>
        <sz val="16"/>
        <rFont val="宋体"/>
        <family val="0"/>
      </rPr>
      <t>年1</t>
    </r>
    <r>
      <rPr>
        <b/>
        <sz val="16"/>
        <rFont val="宋体"/>
        <family val="0"/>
      </rPr>
      <t>1</t>
    </r>
    <r>
      <rPr>
        <b/>
        <sz val="16"/>
        <rFont val="宋体"/>
        <family val="0"/>
      </rPr>
      <t>月</t>
    </r>
    <r>
      <rPr>
        <b/>
        <sz val="16"/>
        <rFont val="宋体"/>
        <family val="0"/>
      </rPr>
      <t>12</t>
    </r>
    <r>
      <rPr>
        <b/>
        <sz val="16"/>
        <rFont val="宋体"/>
        <family val="0"/>
      </rPr>
      <t>日</t>
    </r>
  </si>
  <si>
    <t>表十一：</t>
  </si>
  <si>
    <t>北辰区2019年政府性基金收入预算预计执行情况表</t>
  </si>
  <si>
    <r>
      <t>调整为201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年决算%</t>
    </r>
  </si>
  <si>
    <t>政府性基金收入合计</t>
  </si>
  <si>
    <t>散装水泥专项资金收入</t>
  </si>
  <si>
    <t>新型墙体材料专项基金收入</t>
  </si>
  <si>
    <t>国有土地收益基金收入</t>
  </si>
  <si>
    <t>农业土地开发资金收入</t>
  </si>
  <si>
    <t>国有土地使用权出让收入</t>
  </si>
  <si>
    <t xml:space="preserve">   土地出让价款收入</t>
  </si>
  <si>
    <t>土地出让政府净收益</t>
  </si>
  <si>
    <t>土地收购整理成本</t>
  </si>
  <si>
    <t>新增建设用地有偿使用费</t>
  </si>
  <si>
    <t>其他土地出让收入</t>
  </si>
  <si>
    <t>城市基础设施配套费收入</t>
  </si>
  <si>
    <t>加：</t>
  </si>
  <si>
    <t>1、转移支付收入</t>
  </si>
  <si>
    <t>2、上年结转结余收入（区本级+镇）</t>
  </si>
  <si>
    <t>3、调入资金</t>
  </si>
  <si>
    <t>4、成本返还调入</t>
  </si>
  <si>
    <t>减：</t>
  </si>
  <si>
    <t>1、30%政府性基金调至一般预算</t>
  </si>
  <si>
    <t>2、新增费调至一般预算</t>
  </si>
  <si>
    <t>政府性基金财力合计</t>
  </si>
  <si>
    <t>专项债券转贷收入</t>
  </si>
  <si>
    <t>其中：新增专项债券资金</t>
  </si>
  <si>
    <t>再融资专项债务</t>
  </si>
  <si>
    <t>表十二:</t>
  </si>
  <si>
    <t>北辰区2019年政府性基金支出调整执行情况表</t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</si>
  <si>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年执行</t>
    </r>
  </si>
  <si>
    <t>基金预算支出</t>
  </si>
  <si>
    <t xml:space="preserve">  基金支出</t>
  </si>
  <si>
    <t xml:space="preserve">    215 资源勘探电力信息等支出</t>
  </si>
  <si>
    <t>表十三：</t>
  </si>
  <si>
    <t>北辰区2019年政府性基金本级支出调整预计执行情况表</t>
  </si>
  <si>
    <t xml:space="preserve">    21208 国有土地使用权出让收入及对应专项债务收入安排的支出</t>
  </si>
  <si>
    <t xml:space="preserve">      2120802 土地开发支出</t>
  </si>
  <si>
    <t xml:space="preserve">      2120803 城市建设支出</t>
  </si>
  <si>
    <t xml:space="preserve">      2120899 其他国有土地使用权出让收入安排的支出</t>
  </si>
  <si>
    <t xml:space="preserve">    21210 国有土地收益基金及对应专项债务收入安排的支出</t>
  </si>
  <si>
    <t xml:space="preserve">      2121099 其他国有土地收益基金支出</t>
  </si>
  <si>
    <t xml:space="preserve">    21211 农业土地开发资金及对应专项债务收入安排的支出</t>
  </si>
  <si>
    <t xml:space="preserve">    21212 新增建设用地土地有偿使用费及对应专项债务收入安排的支出</t>
  </si>
  <si>
    <t xml:space="preserve">      2121203 土地整理支出</t>
  </si>
  <si>
    <t xml:space="preserve">    21213 城市基础设施配套费及对应专项债务收入安排的支出</t>
  </si>
  <si>
    <r>
      <t xml:space="preserve">      21213</t>
    </r>
    <r>
      <rPr>
        <sz val="12"/>
        <rFont val="宋体"/>
        <family val="0"/>
      </rPr>
      <t>01</t>
    </r>
    <r>
      <rPr>
        <sz val="12"/>
        <rFont val="宋体"/>
        <family val="0"/>
      </rPr>
      <t xml:space="preserve"> 城市建设支出</t>
    </r>
  </si>
  <si>
    <t xml:space="preserve">      2121399 其他城市基础设施配套费安排的支出</t>
  </si>
  <si>
    <t xml:space="preserve">    21214 污水处理费及对应专项债务收入安排的支出</t>
  </si>
  <si>
    <t xml:space="preserve">      2121401 污水处理设施建设和运营</t>
  </si>
  <si>
    <t xml:space="preserve">      2121402 代征手续费</t>
  </si>
  <si>
    <t xml:space="preserve">      2121499 其他污水处理费安排的支出</t>
  </si>
  <si>
    <t xml:space="preserve">    21215 土地储备专项债务收入安排的支出</t>
  </si>
  <si>
    <t xml:space="preserve">      2121502 土地开发支出</t>
  </si>
  <si>
    <t xml:space="preserve">    21216 棚户区改造专项债务收入安排的支出</t>
  </si>
  <si>
    <t xml:space="preserve">      2121602 土地开发支出</t>
  </si>
  <si>
    <t xml:space="preserve">    21560 散装水泥专项资金及对应专项债务收入安排的支出</t>
  </si>
  <si>
    <t xml:space="preserve">      2156099 其他散装水泥专项资金支出</t>
  </si>
  <si>
    <t xml:space="preserve">    21561 新型墙体材料专项基金及对应专项债务收入安排的支出</t>
  </si>
  <si>
    <t xml:space="preserve">      2156199 其他新型墙体材料专项基金支出</t>
  </si>
  <si>
    <t xml:space="preserve">    21660 旅游发展基金支出</t>
  </si>
  <si>
    <t xml:space="preserve">      2166004 地方旅游开发项目补助</t>
  </si>
  <si>
    <r>
      <t xml:space="preserve">    22904</t>
    </r>
    <r>
      <rPr>
        <sz val="12"/>
        <rFont val="宋体"/>
        <family val="0"/>
      </rPr>
      <t xml:space="preserve"> 其他政府性基金及对应专项债务收入安排的支出</t>
    </r>
  </si>
  <si>
    <r>
      <t xml:space="preserve">      </t>
    </r>
    <r>
      <rPr>
        <sz val="12"/>
        <rFont val="宋体"/>
        <family val="0"/>
      </rPr>
      <t>229</t>
    </r>
    <r>
      <rPr>
        <sz val="12"/>
        <rFont val="宋体"/>
        <family val="0"/>
      </rPr>
      <t xml:space="preserve">0403 </t>
    </r>
    <r>
      <rPr>
        <sz val="12"/>
        <rFont val="宋体"/>
        <family val="0"/>
      </rPr>
      <t>其他政府性基金债务收入安排的支出</t>
    </r>
  </si>
  <si>
    <t xml:space="preserve">    22960 彩票公益金及对应专项债务收入安排的支出</t>
  </si>
  <si>
    <t xml:space="preserve">      2296002 用于社会福利的彩票公益金支出</t>
  </si>
  <si>
    <t xml:space="preserve">      2296003 用于体育事业的彩票公益金支出</t>
  </si>
  <si>
    <t xml:space="preserve">      2296006 用于残疾人事业的彩票公益金支出</t>
  </si>
  <si>
    <t xml:space="preserve">    23204 地方政府专项债务付息支出</t>
  </si>
  <si>
    <t xml:space="preserve">      2320411 国有土地使用权出让金债务付息支出</t>
  </si>
  <si>
    <t xml:space="preserve">    23304 地方政府专项债务发行费用支出</t>
  </si>
  <si>
    <t xml:space="preserve">      2330499 其他政府性基金债务发行费用支出</t>
  </si>
  <si>
    <t xml:space="preserve">    23104 地方政府专项债务还本支出</t>
  </si>
  <si>
    <t xml:space="preserve">      2310411 国有土地使用权出让金债务还本支出</t>
  </si>
  <si>
    <t>表十四：</t>
  </si>
  <si>
    <t>2019年市对区政府性预算转移支付表</t>
  </si>
  <si>
    <t>金额</t>
  </si>
  <si>
    <t>市对区转移支付</t>
  </si>
  <si>
    <t>北辰区基础设施下放（政府收益返还性支出）</t>
  </si>
  <si>
    <r>
      <t>供热管网改造-2019-</t>
    </r>
    <r>
      <rPr>
        <sz val="12"/>
        <rFont val="宋体"/>
        <family val="0"/>
      </rPr>
      <t>106</t>
    </r>
    <r>
      <rPr>
        <sz val="12"/>
        <rFont val="宋体"/>
        <family val="0"/>
      </rPr>
      <t>号</t>
    </r>
  </si>
  <si>
    <r>
      <t>2019垃圾分类市财政补助</t>
    </r>
    <r>
      <rPr>
        <sz val="12"/>
        <rFont val="宋体"/>
        <family val="0"/>
      </rPr>
      <t>-2019-65号</t>
    </r>
  </si>
  <si>
    <r>
      <t>农村危房改造-</t>
    </r>
    <r>
      <rPr>
        <sz val="12"/>
        <rFont val="宋体"/>
        <family val="0"/>
      </rPr>
      <t>2019-34号</t>
    </r>
  </si>
  <si>
    <t>养老服务业补贴-2018-170号</t>
  </si>
  <si>
    <r>
      <t>2019年中央集中彩票公益金支持社会福利事业专项（财社19-74号）</t>
    </r>
    <r>
      <rPr>
        <sz val="12"/>
        <rFont val="宋体"/>
        <family val="0"/>
      </rPr>
      <t>-2019-109号</t>
    </r>
  </si>
  <si>
    <r>
      <t>农村示范社区-</t>
    </r>
    <r>
      <rPr>
        <sz val="12"/>
        <rFont val="宋体"/>
        <family val="0"/>
      </rPr>
      <t>2019-10号</t>
    </r>
  </si>
  <si>
    <r>
      <t>2019年学校体育场馆向社会开放专项资金</t>
    </r>
    <r>
      <rPr>
        <sz val="12"/>
        <rFont val="宋体"/>
        <family val="0"/>
      </rPr>
      <t>-2019-46号</t>
    </r>
  </si>
  <si>
    <t>中央集中彩票公益金支持地方体育事业专项(全民健身设施)-2018-163号</t>
  </si>
  <si>
    <t>体育彩票公益金转移支付-2018-163号</t>
  </si>
  <si>
    <t>残疾儿童康复救助项目（中央）-2019-81号</t>
  </si>
  <si>
    <t>2019年养老服务补助资金（第一批）-2019-128号</t>
  </si>
  <si>
    <t>2018年社会保障市级专项资金-2017-115号、-2017-127号</t>
  </si>
  <si>
    <t>居家养老政府服务补贴-2018-170号</t>
  </si>
  <si>
    <t>表十五：</t>
  </si>
  <si>
    <t>2019年区对镇补助支出情况表</t>
  </si>
  <si>
    <t>单位</t>
  </si>
  <si>
    <t>全年预算</t>
  </si>
  <si>
    <t>一般预算支出合计</t>
  </si>
  <si>
    <t>天津市北辰区天穆镇人民政府</t>
  </si>
  <si>
    <t>援派干部补助</t>
  </si>
  <si>
    <t>2010301行政运行</t>
  </si>
  <si>
    <t>原物资站分流到居委会人员经费</t>
  </si>
  <si>
    <t>2080208基层政权和社区建设</t>
  </si>
  <si>
    <t>天穆镇综合服务队职工生活保障补助资金</t>
  </si>
  <si>
    <t>2081901城市最低生活保障金支出</t>
  </si>
  <si>
    <t>经济发达镇专项支出</t>
  </si>
  <si>
    <t>2129901其他城乡社区支出</t>
  </si>
  <si>
    <t>生活垃圾处理费</t>
  </si>
  <si>
    <t>2120501城乡社区环境卫生</t>
  </si>
  <si>
    <t>居委会退养人员</t>
  </si>
  <si>
    <t>2081099其他社会福利支出</t>
  </si>
  <si>
    <t>在乡复员、退伍军人生活补助</t>
  </si>
  <si>
    <t>2080803在乡复员、退伍军人生活补助</t>
  </si>
  <si>
    <t>伤残抚恤</t>
  </si>
  <si>
    <t>2080802伤残抚恤</t>
  </si>
  <si>
    <t>城市最低生活保障金</t>
  </si>
  <si>
    <t>死亡抚恤</t>
  </si>
  <si>
    <t>2080801死亡抚恤</t>
  </si>
  <si>
    <t>农村最低生活保障金</t>
  </si>
  <si>
    <t>2081902农村最低生活保障金支出</t>
  </si>
  <si>
    <t>“四个一批”企业补助</t>
  </si>
  <si>
    <t>2080699其他企业改革发展补助</t>
  </si>
  <si>
    <t>非统发人员经费</t>
  </si>
  <si>
    <t>天津市北辰区北仓镇人民政府</t>
  </si>
  <si>
    <t>生活垃圾处理费（区级专项补助）</t>
  </si>
  <si>
    <t>城市最低生活保障金支出</t>
  </si>
  <si>
    <t>农村最低生活保障金支出</t>
  </si>
  <si>
    <t>优抚对象伤残抚恤补贴</t>
  </si>
  <si>
    <t>天津市北辰区宜兴埠镇人民政府</t>
  </si>
  <si>
    <t>居委会退养人员补贴</t>
  </si>
  <si>
    <t>铁路联防护路队专项经费</t>
  </si>
  <si>
    <t>2149999其他交通运输支出</t>
  </si>
  <si>
    <t>城市最低生活保障支出</t>
  </si>
  <si>
    <t>天津市北辰区双街镇人民政府</t>
  </si>
  <si>
    <t>经济发达镇专项经费</t>
  </si>
  <si>
    <t>经济发达镇改革补贴</t>
  </si>
  <si>
    <t>2130126农村公益事业</t>
  </si>
  <si>
    <t>2010350事业运行</t>
  </si>
  <si>
    <t>天津市北辰区双口镇人民政府</t>
  </si>
  <si>
    <t>优抚对象伤残抚恤补助</t>
  </si>
  <si>
    <t>优抚对象死亡抚恤补助</t>
  </si>
  <si>
    <t>天津市北辰区青光镇人民政府</t>
  </si>
  <si>
    <t>刘码头村环保治理专项资金</t>
  </si>
  <si>
    <t>2110301大气</t>
  </si>
  <si>
    <t>天津市北辰区小淀镇人民政府</t>
  </si>
  <si>
    <t>农村最低生活保障支出</t>
  </si>
  <si>
    <t>在乡复员、退伍军人生活补贴</t>
  </si>
  <si>
    <t>天津市北辰区西堤头镇人民政府</t>
  </si>
  <si>
    <t>镇体制资金调整预算</t>
  </si>
  <si>
    <t>2120201城乡社区规划与管理</t>
  </si>
  <si>
    <t>赵庄子村土地指标</t>
  </si>
  <si>
    <t>2130135农业资源保护修复与利用</t>
  </si>
  <si>
    <t>垃圾处理费</t>
  </si>
  <si>
    <t>天津市北辰区大张庄镇人民政府</t>
  </si>
  <si>
    <t>天津市北辰区经济技术开发区管理委员会</t>
  </si>
  <si>
    <t>示范工业园区补助</t>
  </si>
  <si>
    <t>2120399其他城乡社区公共设施支出</t>
  </si>
  <si>
    <t>2150801行政运行</t>
  </si>
  <si>
    <t>示范工业园区2017年市级财政补助资金</t>
  </si>
  <si>
    <t>小淀示范镇政府净收益</t>
  </si>
  <si>
    <t>21211农业土地开发资金安排的支出</t>
  </si>
  <si>
    <t>小淀镇示范镇土地整理成本</t>
  </si>
  <si>
    <t>2120802土地开发支出</t>
  </si>
  <si>
    <t>2120803城市建设支出</t>
  </si>
  <si>
    <t>2121099其他国有土地收益基金支出</t>
  </si>
  <si>
    <t>北仓镇出让地块政府净收益</t>
  </si>
  <si>
    <t>北仓镇出让地块土地整理成本</t>
  </si>
  <si>
    <t>双街镇示范镇政府净收益</t>
  </si>
  <si>
    <t>青光新市镇土地出让金成本资金</t>
  </si>
  <si>
    <t>青光新市镇土地出让金政府净收益</t>
  </si>
  <si>
    <t>大张庄示范镇土地出让金政府净收益</t>
  </si>
  <si>
    <t>双街镇示范镇土地整理成本</t>
  </si>
  <si>
    <t>大张庄示范镇土地整理成本</t>
  </si>
  <si>
    <t>土地出让金成本</t>
  </si>
  <si>
    <t>土地出让金净收益</t>
  </si>
  <si>
    <t>北仓镇示范镇土地出让金</t>
  </si>
  <si>
    <t>大张庄示范镇19号地剩余净收益</t>
  </si>
  <si>
    <t>表十六：</t>
  </si>
  <si>
    <t>北辰区2019年政府债务预计情况表</t>
  </si>
  <si>
    <t>单位：亿元</t>
  </si>
  <si>
    <t>政府债券</t>
  </si>
  <si>
    <t>国有企事业单位债务等</t>
  </si>
  <si>
    <t xml:space="preserve">一、2018年末政府债余额 </t>
  </si>
  <si>
    <t>（一）一般债务</t>
  </si>
  <si>
    <t>（二）专项债务</t>
  </si>
  <si>
    <t>二、2019年末政府债务余额限额</t>
  </si>
  <si>
    <t>三、2019年政府债务举借额</t>
  </si>
  <si>
    <t>四、2019年政府债务还本额</t>
  </si>
  <si>
    <t xml:space="preserve">五、2019年末政府债余额 </t>
  </si>
  <si>
    <t>北辰区2019年新增政府债务项目安排情况表</t>
  </si>
  <si>
    <t xml:space="preserve">单位：万元 </t>
  </si>
  <si>
    <t>项     目     名     称</t>
  </si>
  <si>
    <t>金        额</t>
  </si>
  <si>
    <t>环外煤改清洁能源项目</t>
  </si>
  <si>
    <t>京津塘高速北辰开发区出入口及互通立交项目</t>
  </si>
  <si>
    <t>青光示范镇项目</t>
  </si>
  <si>
    <t>城中村改造项目</t>
  </si>
  <si>
    <t>土地整理项目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</si>
</sst>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$_-;\-* #,##0_$_-;_-* &quot;-&quot;_$_-;_-@_-"/>
    <numFmt numFmtId="177" formatCode="yyyy&quot;年&quot;m&quot;月&quot;d&quot;日&quot;;@"/>
    <numFmt numFmtId="178" formatCode="\$#,##0.00;\(\$#,##0.00\)"/>
    <numFmt numFmtId="179" formatCode="_-&quot;$&quot;* #,##0_-;\-&quot;$&quot;* #,##0_-;_-&quot;$&quot;* &quot;-&quot;_-;_-@_-"/>
    <numFmt numFmtId="180" formatCode="_-* #,##0.00_$_-;\-* #,##0.00_$_-;_-* &quot;-&quot;??_$_-;_-@_-"/>
    <numFmt numFmtId="181" formatCode="_(&quot;$&quot;* #,##0.00_);_(&quot;$&quot;* \(#,##0.00\);_(&quot;$&quot;* &quot;-&quot;??_);_(@_)"/>
    <numFmt numFmtId="182" formatCode="#,##0;\-#,##0;&quot;-&quot;"/>
    <numFmt numFmtId="183" formatCode="#,##0;\(#,##0\)"/>
    <numFmt numFmtId="184" formatCode="\$#,##0;\(\$#,##0\)"/>
    <numFmt numFmtId="185" formatCode="_-* #,##0.00&quot;$&quot;_-;\-* #,##0.00&quot;$&quot;_-;_-* &quot;-&quot;??&quot;$&quot;_-;_-@_-"/>
    <numFmt numFmtId="186" formatCode="_-* #,##0&quot;$&quot;_-;\-* #,##0&quot;$&quot;_-;_-* &quot;-&quot;&quot;$&quot;_-;_-@_-"/>
    <numFmt numFmtId="187" formatCode="0;_琀"/>
    <numFmt numFmtId="188" formatCode="0.0"/>
    <numFmt numFmtId="189" formatCode="#,##0_ "/>
    <numFmt numFmtId="190" formatCode="0.00_);[Red]\(0.00\)"/>
    <numFmt numFmtId="191" formatCode="0.0_);[Red]\(0.0\)"/>
    <numFmt numFmtId="192" formatCode="_ * #,##0_ ;_ * \-#,##0_ ;_ * &quot;-&quot;??_ ;_ @_ "/>
    <numFmt numFmtId="193" formatCode="#,##0.00_ "/>
    <numFmt numFmtId="194" formatCode="0_);[Red]\(0\)"/>
    <numFmt numFmtId="195" formatCode="_ * #,##0.00_ ;_ * \-#,##0.00_ ;_ * &quot;-&quot;_ ;_ @_ "/>
    <numFmt numFmtId="196" formatCode="0.00_ "/>
    <numFmt numFmtId="197" formatCode="0_ "/>
    <numFmt numFmtId="198" formatCode="#,##0.0_);[Red]\(#,##0.0\)"/>
    <numFmt numFmtId="199" formatCode="#,##0.00000_ "/>
    <numFmt numFmtId="200" formatCode="#,##0.0000_ "/>
    <numFmt numFmtId="201" formatCode="#,##0.000000_ "/>
    <numFmt numFmtId="202" formatCode="#,##0.00_);\(#,##0.00\)"/>
    <numFmt numFmtId="203" formatCode="#,##0_);[Red]\(#,##0\)"/>
    <numFmt numFmtId="204" formatCode="#,##0_);\(#,##0\)"/>
    <numFmt numFmtId="205" formatCode="#,##0.000000_);[Red]\(#,##0.000000\)"/>
  </numFmts>
  <fonts count="105">
    <font>
      <sz val="12"/>
      <name val="宋体"/>
      <family val="0"/>
    </font>
    <font>
      <sz val="11"/>
      <name val="宋体"/>
      <family val="0"/>
    </font>
    <font>
      <sz val="22"/>
      <name val="黑体"/>
      <family val="3"/>
    </font>
    <font>
      <sz val="11"/>
      <color indexed="8"/>
      <name val="宋体"/>
      <family val="0"/>
    </font>
    <font>
      <sz val="12"/>
      <name val="黑体"/>
      <family val="3"/>
    </font>
    <font>
      <b/>
      <sz val="10"/>
      <name val="黑体"/>
      <family val="3"/>
    </font>
    <font>
      <sz val="10"/>
      <name val="Helv"/>
      <family val="2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2"/>
      <name val="Helv"/>
      <family val="2"/>
    </font>
    <font>
      <sz val="12"/>
      <name val="Helv"/>
      <family val="2"/>
    </font>
    <font>
      <b/>
      <sz val="12"/>
      <name val="宋体"/>
      <family val="0"/>
    </font>
    <font>
      <b/>
      <sz val="16"/>
      <name val="宋体"/>
      <family val="0"/>
    </font>
    <font>
      <sz val="12"/>
      <name val="SimSun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32"/>
      <name val="宋体"/>
      <family val="0"/>
    </font>
    <font>
      <sz val="16"/>
      <name val="宋体"/>
      <family val="0"/>
    </font>
    <font>
      <sz val="12"/>
      <name val="Verdana"/>
      <family val="2"/>
    </font>
    <font>
      <sz val="9"/>
      <name val="宋体"/>
      <family val="0"/>
    </font>
    <font>
      <b/>
      <sz val="18"/>
      <name val="宋体"/>
      <family val="0"/>
    </font>
    <font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1"/>
      <color indexed="9"/>
      <name val="宋体"/>
      <family val="0"/>
    </font>
    <font>
      <sz val="12"/>
      <name val="官帕眉"/>
      <family val="0"/>
    </font>
    <font>
      <sz val="11"/>
      <color indexed="52"/>
      <name val="宋体"/>
      <family val="0"/>
    </font>
    <font>
      <sz val="7"/>
      <name val="Small Fonts"/>
      <family val="2"/>
    </font>
    <font>
      <sz val="8"/>
      <name val="Times New Roman"/>
      <family val="1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sz val="22"/>
      <color indexed="8"/>
      <name val="方正小标宋简体"/>
      <family val="4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22"/>
      <color theme="1"/>
      <name val="方正小标宋简体"/>
      <family val="4"/>
    </font>
    <font>
      <b/>
      <sz val="8"/>
      <name val="宋体"/>
      <family val="2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8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6" borderId="0" applyNumberFormat="0" applyBorder="0" applyAlignment="0" applyProtection="0"/>
    <xf numFmtId="0" fontId="40" fillId="28" borderId="0" applyNumberFormat="0" applyBorder="0" applyAlignment="0" applyProtection="0"/>
    <xf numFmtId="0" fontId="40" fillId="3" borderId="0" applyNumberFormat="0" applyBorder="0" applyAlignment="0" applyProtection="0"/>
    <xf numFmtId="0" fontId="41" fillId="29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28" borderId="0" applyNumberFormat="0" applyBorder="0" applyAlignment="0" applyProtection="0"/>
    <xf numFmtId="0" fontId="41" fillId="31" borderId="0" applyNumberFormat="0" applyBorder="0" applyAlignment="0" applyProtection="0"/>
    <xf numFmtId="0" fontId="84" fillId="32" borderId="0" applyNumberFormat="0" applyBorder="0" applyAlignment="0" applyProtection="0"/>
    <xf numFmtId="0" fontId="84" fillId="33" borderId="0" applyNumberFormat="0" applyBorder="0" applyAlignment="0" applyProtection="0"/>
    <xf numFmtId="0" fontId="84" fillId="34" borderId="0" applyNumberFormat="0" applyBorder="0" applyAlignment="0" applyProtection="0"/>
    <xf numFmtId="0" fontId="84" fillId="35" borderId="0" applyNumberFormat="0" applyBorder="0" applyAlignment="0" applyProtection="0"/>
    <xf numFmtId="0" fontId="84" fillId="36" borderId="0" applyNumberFormat="0" applyBorder="0" applyAlignment="0" applyProtection="0"/>
    <xf numFmtId="0" fontId="84" fillId="37" borderId="0" applyNumberFormat="0" applyBorder="0" applyAlignment="0" applyProtection="0"/>
    <xf numFmtId="0" fontId="27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6" fillId="39" borderId="0" applyNumberFormat="0" applyBorder="0" applyAlignment="0" applyProtection="0"/>
    <xf numFmtId="0" fontId="26" fillId="44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6" fillId="39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50" borderId="0" applyNumberFormat="0" applyBorder="0" applyAlignment="0" applyProtection="0"/>
    <xf numFmtId="0" fontId="26" fillId="39" borderId="0" applyNumberFormat="0" applyBorder="0" applyAlignment="0" applyProtection="0"/>
    <xf numFmtId="0" fontId="26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4" fillId="7" borderId="0" applyNumberFormat="0" applyBorder="0" applyAlignment="0" applyProtection="0"/>
    <xf numFmtId="182" fontId="46" fillId="0" borderId="0" applyFill="0" applyBorder="0" applyAlignment="0">
      <protection/>
    </xf>
    <xf numFmtId="0" fontId="48" fillId="2" borderId="1" applyNumberFormat="0" applyAlignment="0" applyProtection="0"/>
    <xf numFmtId="0" fontId="49" fillId="54" borderId="2" applyNumberFormat="0" applyAlignment="0" applyProtection="0"/>
    <xf numFmtId="0" fontId="50" fillId="0" borderId="0" applyProtection="0">
      <alignment vertical="center"/>
    </xf>
    <xf numFmtId="41" fontId="28" fillId="0" borderId="0" applyFont="0" applyFill="0" applyBorder="0" applyAlignment="0" applyProtection="0"/>
    <xf numFmtId="183" fontId="45" fillId="0" borderId="0">
      <alignment/>
      <protection/>
    </xf>
    <xf numFmtId="43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78" fontId="45" fillId="0" borderId="0">
      <alignment/>
      <protection/>
    </xf>
    <xf numFmtId="0" fontId="51" fillId="0" borderId="0" applyProtection="0">
      <alignment/>
    </xf>
    <xf numFmtId="184" fontId="45" fillId="0" borderId="0">
      <alignment/>
      <protection/>
    </xf>
    <xf numFmtId="0" fontId="52" fillId="0" borderId="0" applyNumberFormat="0" applyFill="0" applyBorder="0" applyAlignment="0" applyProtection="0"/>
    <xf numFmtId="2" fontId="51" fillId="0" borderId="0" applyProtection="0">
      <alignment/>
    </xf>
    <xf numFmtId="0" fontId="25" fillId="8" borderId="0" applyNumberFormat="0" applyBorder="0" applyAlignment="0" applyProtection="0"/>
    <xf numFmtId="38" fontId="54" fillId="16" borderId="0" applyNumberFormat="0" applyBorder="0" applyAlignment="0" applyProtection="0"/>
    <xf numFmtId="0" fontId="55" fillId="0" borderId="3" applyNumberFormat="0" applyAlignment="0" applyProtection="0"/>
    <xf numFmtId="0" fontId="55" fillId="0" borderId="4">
      <alignment horizontal="left" vertical="center"/>
      <protection/>
    </xf>
    <xf numFmtId="0" fontId="56" fillId="0" borderId="5" applyNumberFormat="0" applyFill="0" applyAlignment="0" applyProtection="0"/>
    <xf numFmtId="0" fontId="34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57" fillId="0" borderId="0" applyProtection="0">
      <alignment/>
    </xf>
    <xf numFmtId="0" fontId="55" fillId="0" borderId="0" applyProtection="0">
      <alignment/>
    </xf>
    <xf numFmtId="0" fontId="29" fillId="3" borderId="1" applyNumberFormat="0" applyAlignment="0" applyProtection="0"/>
    <xf numFmtId="10" fontId="54" fillId="2" borderId="8" applyNumberFormat="0" applyBorder="0" applyAlignment="0" applyProtection="0"/>
    <xf numFmtId="0" fontId="29" fillId="3" borderId="1" applyNumberFormat="0" applyAlignment="0" applyProtection="0"/>
    <xf numFmtId="0" fontId="60" fillId="0" borderId="9" applyNumberFormat="0" applyFill="0" applyAlignment="0" applyProtection="0"/>
    <xf numFmtId="0" fontId="44" fillId="18" borderId="0" applyNumberFormat="0" applyBorder="0" applyAlignment="0" applyProtection="0"/>
    <xf numFmtId="37" fontId="61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62" fillId="0" borderId="0">
      <alignment/>
      <protection/>
    </xf>
    <xf numFmtId="0" fontId="3" fillId="4" borderId="10" applyNumberFormat="0" applyFont="0" applyAlignment="0" applyProtection="0"/>
    <xf numFmtId="0" fontId="63" fillId="2" borderId="11" applyNumberFormat="0" applyAlignment="0" applyProtection="0"/>
    <xf numFmtId="10" fontId="28" fillId="0" borderId="0" applyFont="0" applyFill="0" applyBorder="0" applyAlignment="0" applyProtection="0"/>
    <xf numFmtId="1" fontId="28" fillId="0" borderId="0">
      <alignment/>
      <protection/>
    </xf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0" borderId="12" applyProtection="0">
      <alignment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0" fontId="65" fillId="0" borderId="14" applyNumberFormat="0" applyFill="0" applyAlignment="0" applyProtection="0"/>
    <xf numFmtId="0" fontId="87" fillId="0" borderId="15" applyNumberFormat="0" applyFill="0" applyAlignment="0" applyProtection="0"/>
    <xf numFmtId="0" fontId="53" fillId="0" borderId="6" applyNumberFormat="0" applyFill="0" applyAlignment="0" applyProtection="0"/>
    <xf numFmtId="0" fontId="88" fillId="0" borderId="16" applyNumberFormat="0" applyFill="0" applyAlignment="0" applyProtection="0"/>
    <xf numFmtId="0" fontId="66" fillId="0" borderId="17" applyNumberFormat="0" applyFill="0" applyAlignment="0" applyProtection="0"/>
    <xf numFmtId="0" fontId="8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horizontal="centerContinuous" vertical="center"/>
      <protection/>
    </xf>
    <xf numFmtId="0" fontId="1" fillId="0" borderId="8">
      <alignment horizontal="distributed" vertical="center" wrapText="1"/>
      <protection/>
    </xf>
    <xf numFmtId="0" fontId="89" fillId="55" borderId="0" applyNumberFormat="0" applyBorder="0" applyAlignment="0" applyProtection="0"/>
    <xf numFmtId="0" fontId="24" fillId="7" borderId="0" applyNumberFormat="0" applyBorder="0" applyAlignment="0" applyProtection="0"/>
    <xf numFmtId="0" fontId="23" fillId="9" borderId="0" applyNumberFormat="0" applyBorder="0" applyAlignment="0" applyProtection="0"/>
    <xf numFmtId="0" fontId="32" fillId="9" borderId="0" applyNumberFormat="0" applyBorder="0" applyAlignment="0" applyProtection="0"/>
    <xf numFmtId="0" fontId="23" fillId="9" borderId="0" applyNumberFormat="0" applyBorder="0" applyAlignment="0" applyProtection="0"/>
    <xf numFmtId="0" fontId="47" fillId="51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47" fillId="4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32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7" fillId="4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Protection="0">
      <alignment vertical="center"/>
    </xf>
    <xf numFmtId="0" fontId="68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7" fillId="48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47" fillId="48" borderId="0" applyNumberFormat="0" applyBorder="0" applyAlignment="0" applyProtection="0"/>
    <xf numFmtId="0" fontId="32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6" fillId="7" borderId="0" applyNumberFormat="0" applyBorder="0" applyAlignment="0" applyProtection="0"/>
    <xf numFmtId="0" fontId="32" fillId="9" borderId="0" applyNumberFormat="0" applyBorder="0" applyAlignment="0" applyProtection="0"/>
    <xf numFmtId="0" fontId="3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47" fillId="48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3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6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91" fillId="56" borderId="0" applyNumberFormat="0" applyBorder="0" applyAlignment="0" applyProtection="0"/>
    <xf numFmtId="0" fontId="25" fillId="8" borderId="0" applyNumberFormat="0" applyBorder="0" applyAlignment="0" applyProtection="0"/>
    <xf numFmtId="0" fontId="43" fillId="5" borderId="0" applyNumberFormat="0" applyBorder="0" applyAlignment="0" applyProtection="0"/>
    <xf numFmtId="0" fontId="3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7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3" fillId="5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Protection="0">
      <alignment vertical="center"/>
    </xf>
    <xf numFmtId="0" fontId="71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3" fillId="57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43" fillId="57" borderId="0" applyNumberFormat="0" applyBorder="0" applyAlignment="0" applyProtection="0"/>
    <xf numFmtId="0" fontId="33" fillId="8" borderId="0" applyNumberFormat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2" fillId="8" borderId="0" applyNumberFormat="0" applyBorder="0" applyAlignment="0" applyProtection="0"/>
    <xf numFmtId="0" fontId="33" fillId="5" borderId="0" applyNumberFormat="0" applyBorder="0" applyAlignment="0" applyProtection="0"/>
    <xf numFmtId="0" fontId="42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5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2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3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2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42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2" fillId="0" borderId="18" applyNumberFormat="0" applyFill="0" applyAlignment="0" applyProtection="0"/>
    <xf numFmtId="0" fontId="73" fillId="0" borderId="19" applyNumberFormat="0" applyFill="0" applyAlignment="0" applyProtection="0"/>
    <xf numFmtId="44" fontId="0" fillId="0" borderId="0" applyFont="0" applyFill="0" applyBorder="0" applyAlignment="0" applyProtection="0"/>
    <xf numFmtId="177" fontId="7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58" borderId="20" applyNumberFormat="0" applyAlignment="0" applyProtection="0"/>
    <xf numFmtId="0" fontId="48" fillId="16" borderId="1" applyNumberFormat="0" applyAlignment="0" applyProtection="0"/>
    <xf numFmtId="0" fontId="94" fillId="59" borderId="21" applyNumberFormat="0" applyAlignment="0" applyProtection="0"/>
    <xf numFmtId="0" fontId="58" fillId="54" borderId="2" applyNumberFormat="0" applyAlignment="0" applyProtection="0"/>
    <xf numFmtId="0" fontId="9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7" fillId="0" borderId="22" applyNumberFormat="0" applyFill="0" applyAlignment="0" applyProtection="0"/>
    <xf numFmtId="0" fontId="60" fillId="0" borderId="9" applyNumberFormat="0" applyFill="0" applyAlignment="0" applyProtection="0"/>
    <xf numFmtId="176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0" fontId="45" fillId="0" borderId="0">
      <alignment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7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0">
      <alignment/>
      <protection/>
    </xf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41" fillId="63" borderId="0" applyNumberFormat="0" applyBorder="0" applyAlignment="0" applyProtection="0"/>
    <xf numFmtId="0" fontId="41" fillId="64" borderId="0" applyNumberFormat="0" applyBorder="0" applyAlignment="0" applyProtection="0"/>
    <xf numFmtId="0" fontId="41" fillId="65" borderId="0" applyNumberFormat="0" applyBorder="0" applyAlignment="0" applyProtection="0"/>
    <xf numFmtId="0" fontId="41" fillId="30" borderId="0" applyNumberFormat="0" applyBorder="0" applyAlignment="0" applyProtection="0"/>
    <xf numFmtId="0" fontId="41" fillId="28" borderId="0" applyNumberFormat="0" applyBorder="0" applyAlignment="0" applyProtection="0"/>
    <xf numFmtId="0" fontId="41" fillId="66" borderId="0" applyNumberFormat="0" applyBorder="0" applyAlignment="0" applyProtection="0"/>
    <xf numFmtId="0" fontId="98" fillId="67" borderId="0" applyNumberFormat="0" applyBorder="0" applyAlignment="0" applyProtection="0"/>
    <xf numFmtId="0" fontId="44" fillId="18" borderId="0" applyNumberFormat="0" applyBorder="0" applyAlignment="0" applyProtection="0"/>
    <xf numFmtId="0" fontId="99" fillId="58" borderId="23" applyNumberFormat="0" applyAlignment="0" applyProtection="0"/>
    <xf numFmtId="0" fontId="63" fillId="16" borderId="11" applyNumberFormat="0" applyAlignment="0" applyProtection="0"/>
    <xf numFmtId="0" fontId="100" fillId="68" borderId="20" applyNumberFormat="0" applyAlignment="0" applyProtection="0"/>
    <xf numFmtId="0" fontId="29" fillId="3" borderId="1" applyNumberFormat="0" applyAlignment="0" applyProtection="0"/>
    <xf numFmtId="1" fontId="1" fillId="0" borderId="8">
      <alignment vertical="center"/>
      <protection locked="0"/>
    </xf>
    <xf numFmtId="0" fontId="74" fillId="0" borderId="0">
      <alignment/>
      <protection/>
    </xf>
    <xf numFmtId="188" fontId="1" fillId="0" borderId="8">
      <alignment vertical="center"/>
      <protection locked="0"/>
    </xf>
    <xf numFmtId="0" fontId="28" fillId="0" borderId="0">
      <alignment/>
      <protection/>
    </xf>
    <xf numFmtId="0" fontId="101" fillId="0" borderId="0" applyNumberFormat="0" applyFill="0" applyBorder="0" applyAlignment="0" applyProtection="0"/>
    <xf numFmtId="0" fontId="84" fillId="69" borderId="0" applyNumberFormat="0" applyBorder="0" applyAlignment="0" applyProtection="0"/>
    <xf numFmtId="0" fontId="84" fillId="70" borderId="0" applyNumberFormat="0" applyBorder="0" applyAlignment="0" applyProtection="0"/>
    <xf numFmtId="0" fontId="84" fillId="71" borderId="0" applyNumberFormat="0" applyBorder="0" applyAlignment="0" applyProtection="0"/>
    <xf numFmtId="0" fontId="84" fillId="72" borderId="0" applyNumberFormat="0" applyBorder="0" applyAlignment="0" applyProtection="0"/>
    <xf numFmtId="0" fontId="84" fillId="73" borderId="0" applyNumberFormat="0" applyBorder="0" applyAlignment="0" applyProtection="0"/>
    <xf numFmtId="0" fontId="84" fillId="74" borderId="0" applyNumberFormat="0" applyBorder="0" applyAlignment="0" applyProtection="0"/>
    <xf numFmtId="0" fontId="0" fillId="75" borderId="24" applyNumberFormat="0" applyFont="0" applyAlignment="0" applyProtection="0"/>
    <xf numFmtId="0" fontId="0" fillId="4" borderId="10" applyNumberFormat="0" applyFont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5" fillId="0" borderId="0">
      <alignment/>
      <protection/>
    </xf>
  </cellStyleXfs>
  <cellXfs count="4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506" applyFont="1" applyFill="1" applyAlignment="1">
      <alignment vertical="top"/>
      <protection/>
    </xf>
    <xf numFmtId="0" fontId="3" fillId="0" borderId="0" xfId="484" applyAlignment="1">
      <alignment vertical="center"/>
      <protection/>
    </xf>
    <xf numFmtId="0" fontId="3" fillId="0" borderId="0" xfId="484" applyAlignment="1">
      <alignment horizontal="right" vertical="center"/>
      <protection/>
    </xf>
    <xf numFmtId="0" fontId="4" fillId="0" borderId="25" xfId="506" applyFont="1" applyFill="1" applyBorder="1" applyAlignment="1">
      <alignment horizontal="center" vertical="center" wrapText="1"/>
      <protection/>
    </xf>
    <xf numFmtId="0" fontId="4" fillId="0" borderId="26" xfId="506" applyFont="1" applyFill="1" applyBorder="1" applyAlignment="1">
      <alignment horizontal="center" vertical="center" wrapText="1"/>
      <protection/>
    </xf>
    <xf numFmtId="0" fontId="4" fillId="0" borderId="27" xfId="506" applyFont="1" applyFill="1" applyBorder="1" applyAlignment="1">
      <alignment horizontal="center" vertical="center" wrapText="1"/>
      <protection/>
    </xf>
    <xf numFmtId="0" fontId="4" fillId="0" borderId="28" xfId="506" applyFont="1" applyFill="1" applyBorder="1" applyAlignment="1">
      <alignment horizontal="center" vertical="center" wrapText="1"/>
      <protection/>
    </xf>
    <xf numFmtId="189" fontId="0" fillId="0" borderId="29" xfId="450" applyNumberFormat="1" applyFont="1" applyFill="1" applyBorder="1" applyAlignment="1">
      <alignment vertical="center"/>
      <protection/>
    </xf>
    <xf numFmtId="0" fontId="0" fillId="0" borderId="29" xfId="506" applyFont="1" applyFill="1" applyBorder="1" applyAlignment="1">
      <alignment horizontal="left" vertical="center" wrapText="1" indent="2"/>
      <protection/>
    </xf>
    <xf numFmtId="189" fontId="0" fillId="0" borderId="30" xfId="450" applyNumberFormat="1" applyFont="1" applyFill="1" applyBorder="1" applyAlignment="1">
      <alignment vertical="center"/>
      <protection/>
    </xf>
    <xf numFmtId="0" fontId="0" fillId="0" borderId="28" xfId="506" applyFont="1" applyFill="1" applyBorder="1" applyAlignment="1">
      <alignment horizontal="left" vertical="center" wrapText="1" indent="2"/>
      <protection/>
    </xf>
    <xf numFmtId="0" fontId="0" fillId="0" borderId="28" xfId="506" applyFont="1" applyFill="1" applyBorder="1" applyAlignment="1">
      <alignment vertical="center" wrapText="1"/>
      <protection/>
    </xf>
    <xf numFmtId="0" fontId="0" fillId="0" borderId="31" xfId="506" applyFont="1" applyFill="1" applyBorder="1" applyAlignment="1">
      <alignment horizontal="left" vertical="center" wrapText="1" indent="2"/>
      <protection/>
    </xf>
    <xf numFmtId="189" fontId="0" fillId="0" borderId="32" xfId="450" applyNumberFormat="1" applyFont="1" applyFill="1" applyBorder="1" applyAlignment="1">
      <alignment vertical="center"/>
      <protection/>
    </xf>
    <xf numFmtId="0" fontId="0" fillId="0" borderId="32" xfId="506" applyFont="1" applyFill="1" applyBorder="1" applyAlignment="1">
      <alignment horizontal="left" vertical="center" wrapText="1" indent="2"/>
      <protection/>
    </xf>
    <xf numFmtId="189" fontId="0" fillId="0" borderId="33" xfId="450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/>
    </xf>
    <xf numFmtId="190" fontId="0" fillId="2" borderId="8" xfId="0" applyNumberFormat="1" applyFont="1" applyFill="1" applyBorder="1" applyAlignment="1">
      <alignment/>
    </xf>
    <xf numFmtId="191" fontId="0" fillId="2" borderId="8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190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191" fontId="0" fillId="0" borderId="8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2" borderId="0" xfId="0" applyFont="1" applyFill="1" applyAlignment="1">
      <alignment horizontal="right"/>
    </xf>
    <xf numFmtId="189" fontId="0" fillId="0" borderId="8" xfId="0" applyNumberForma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0" fontId="0" fillId="0" borderId="34" xfId="0" applyBorder="1" applyAlignment="1">
      <alignment vertical="center"/>
    </xf>
    <xf numFmtId="4" fontId="0" fillId="0" borderId="34" xfId="0" applyNumberFormat="1" applyBorder="1" applyAlignment="1">
      <alignment vertical="center"/>
    </xf>
    <xf numFmtId="189" fontId="0" fillId="0" borderId="8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6" fillId="2" borderId="0" xfId="478" applyFont="1" applyFill="1" applyAlignment="1">
      <alignment shrinkToFit="1"/>
      <protection/>
    </xf>
    <xf numFmtId="0" fontId="9" fillId="2" borderId="0" xfId="478" applyFont="1" applyFill="1" applyAlignment="1">
      <alignment shrinkToFit="1"/>
      <protection/>
    </xf>
    <xf numFmtId="0" fontId="10" fillId="2" borderId="0" xfId="478" applyFont="1" applyFill="1" applyAlignment="1">
      <alignment shrinkToFit="1"/>
      <protection/>
    </xf>
    <xf numFmtId="0" fontId="0" fillId="2" borderId="0" xfId="478" applyFont="1" applyFill="1" applyAlignment="1">
      <alignment wrapText="1"/>
      <protection/>
    </xf>
    <xf numFmtId="0" fontId="6" fillId="2" borderId="0" xfId="478" applyFont="1" applyFill="1" applyAlignment="1">
      <alignment wrapText="1"/>
      <protection/>
    </xf>
    <xf numFmtId="0" fontId="6" fillId="2" borderId="0" xfId="478" applyFont="1" applyFill="1">
      <alignment/>
      <protection/>
    </xf>
    <xf numFmtId="0" fontId="5" fillId="2" borderId="0" xfId="478" applyFont="1" applyFill="1" applyAlignment="1">
      <alignment wrapText="1"/>
      <protection/>
    </xf>
    <xf numFmtId="0" fontId="8" fillId="2" borderId="0" xfId="478" applyFont="1" applyFill="1" applyAlignment="1">
      <alignment wrapText="1"/>
      <protection/>
    </xf>
    <xf numFmtId="0" fontId="8" fillId="2" borderId="0" xfId="478" applyFont="1" applyFill="1" applyAlignment="1">
      <alignment horizontal="right" vertical="center"/>
      <protection/>
    </xf>
    <xf numFmtId="0" fontId="0" fillId="2" borderId="8" xfId="478" applyNumberFormat="1" applyFont="1" applyFill="1" applyBorder="1" applyAlignment="1" applyProtection="1">
      <alignment horizontal="center" vertical="center" shrinkToFit="1"/>
      <protection/>
    </xf>
    <xf numFmtId="0" fontId="11" fillId="2" borderId="8" xfId="478" applyFont="1" applyFill="1" applyBorder="1" applyAlignment="1">
      <alignment shrinkToFit="1"/>
      <protection/>
    </xf>
    <xf numFmtId="190" fontId="11" fillId="2" borderId="8" xfId="478" applyNumberFormat="1" applyFont="1" applyFill="1" applyBorder="1" applyAlignment="1" applyProtection="1">
      <alignment shrinkToFit="1"/>
      <protection/>
    </xf>
    <xf numFmtId="190" fontId="0" fillId="2" borderId="8" xfId="478" applyNumberFormat="1" applyFont="1" applyFill="1" applyBorder="1" applyAlignment="1">
      <alignment shrinkToFit="1"/>
      <protection/>
    </xf>
    <xf numFmtId="190" fontId="11" fillId="2" borderId="8" xfId="478" applyNumberFormat="1" applyFont="1" applyFill="1" applyBorder="1" applyAlignment="1">
      <alignment shrinkToFit="1"/>
      <protection/>
    </xf>
    <xf numFmtId="49" fontId="0" fillId="0" borderId="8" xfId="0" applyNumberFormat="1" applyFont="1" applyFill="1" applyBorder="1" applyAlignment="1" applyProtection="1">
      <alignment vertical="center" wrapText="1"/>
      <protection/>
    </xf>
    <xf numFmtId="0" fontId="102" fillId="76" borderId="36" xfId="463" applyNumberFormat="1" applyFont="1" applyFill="1" applyBorder="1" applyAlignment="1" applyProtection="1">
      <alignment horizontal="left" vertical="top" wrapText="1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0" fillId="2" borderId="8" xfId="478" applyFont="1" applyFill="1" applyBorder="1" applyAlignment="1">
      <alignment shrinkToFit="1"/>
      <protection/>
    </xf>
    <xf numFmtId="0" fontId="0" fillId="2" borderId="8" xfId="478" applyNumberFormat="1" applyFont="1" applyFill="1" applyBorder="1" applyAlignment="1" applyProtection="1">
      <alignment horizontal="left" vertical="top" shrinkToFit="1"/>
      <protection/>
    </xf>
    <xf numFmtId="190" fontId="0" fillId="2" borderId="8" xfId="478" applyNumberFormat="1" applyFont="1" applyFill="1" applyBorder="1" applyAlignment="1" applyProtection="1">
      <alignment shrinkToFit="1"/>
      <protection/>
    </xf>
    <xf numFmtId="0" fontId="13" fillId="0" borderId="34" xfId="0" applyFont="1" applyBorder="1" applyAlignment="1">
      <alignment vertical="center" wrapText="1"/>
    </xf>
    <xf numFmtId="0" fontId="6" fillId="2" borderId="0" xfId="463" applyFont="1" applyFill="1">
      <alignment/>
      <protection/>
    </xf>
    <xf numFmtId="0" fontId="5" fillId="2" borderId="0" xfId="463" applyFont="1" applyFill="1">
      <alignment/>
      <protection/>
    </xf>
    <xf numFmtId="0" fontId="14" fillId="2" borderId="0" xfId="463" applyFont="1" applyFill="1">
      <alignment/>
      <protection/>
    </xf>
    <xf numFmtId="189" fontId="6" fillId="2" borderId="0" xfId="463" applyNumberFormat="1" applyFont="1" applyFill="1">
      <alignment/>
      <protection/>
    </xf>
    <xf numFmtId="0" fontId="8" fillId="2" borderId="0" xfId="463" applyFont="1" applyFill="1" applyAlignment="1">
      <alignment horizontal="right" vertical="center"/>
      <protection/>
    </xf>
    <xf numFmtId="0" fontId="11" fillId="2" borderId="36" xfId="463" applyNumberFormat="1" applyFont="1" applyFill="1" applyBorder="1" applyAlignment="1" applyProtection="1">
      <alignment horizontal="center" vertical="center" wrapText="1"/>
      <protection/>
    </xf>
    <xf numFmtId="0" fontId="15" fillId="2" borderId="36" xfId="463" applyNumberFormat="1" applyFont="1" applyFill="1" applyBorder="1" applyAlignment="1" applyProtection="1">
      <alignment horizontal="center" vertical="center" wrapText="1"/>
      <protection/>
    </xf>
    <xf numFmtId="0" fontId="15" fillId="2" borderId="8" xfId="463" applyNumberFormat="1" applyFont="1" applyFill="1" applyBorder="1" applyAlignment="1" applyProtection="1">
      <alignment horizontal="center" vertical="center" wrapText="1"/>
      <protection/>
    </xf>
    <xf numFmtId="189" fontId="0" fillId="0" borderId="37" xfId="452" applyNumberFormat="1" applyFont="1" applyFill="1" applyBorder="1" applyAlignment="1" applyProtection="1">
      <alignment/>
      <protection/>
    </xf>
    <xf numFmtId="193" fontId="0" fillId="2" borderId="8" xfId="463" applyNumberFormat="1" applyFont="1" applyFill="1" applyBorder="1" applyAlignment="1" applyProtection="1">
      <alignment/>
      <protection/>
    </xf>
    <xf numFmtId="0" fontId="11" fillId="2" borderId="36" xfId="463" applyNumberFormat="1" applyFont="1" applyFill="1" applyBorder="1" applyAlignment="1" applyProtection="1">
      <alignment horizontal="left" vertical="top" wrapText="1"/>
      <protection/>
    </xf>
    <xf numFmtId="0" fontId="0" fillId="2" borderId="36" xfId="463" applyNumberFormat="1" applyFont="1" applyFill="1" applyBorder="1" applyAlignment="1" applyProtection="1">
      <alignment horizontal="left" vertical="top" wrapText="1"/>
      <protection/>
    </xf>
    <xf numFmtId="189" fontId="0" fillId="0" borderId="8" xfId="452" applyNumberFormat="1" applyFont="1" applyFill="1" applyBorder="1" applyAlignment="1" applyProtection="1">
      <alignment/>
      <protection/>
    </xf>
    <xf numFmtId="189" fontId="0" fillId="2" borderId="8" xfId="463" applyNumberFormat="1" applyFont="1" applyFill="1" applyBorder="1" applyAlignment="1" applyProtection="1">
      <alignment/>
      <protection/>
    </xf>
    <xf numFmtId="189" fontId="0" fillId="2" borderId="38" xfId="463" applyNumberFormat="1" applyFont="1" applyFill="1" applyBorder="1" applyAlignment="1" applyProtection="1">
      <alignment/>
      <protection/>
    </xf>
    <xf numFmtId="0" fontId="0" fillId="0" borderId="39" xfId="0" applyNumberFormat="1" applyFill="1" applyBorder="1" applyAlignment="1" applyProtection="1">
      <alignment vertical="top" wrapText="1"/>
      <protection/>
    </xf>
    <xf numFmtId="0" fontId="0" fillId="0" borderId="40" xfId="0" applyNumberFormat="1" applyFont="1" applyFill="1" applyBorder="1" applyAlignment="1" applyProtection="1">
      <alignment vertical="top" wrapText="1"/>
      <protection/>
    </xf>
    <xf numFmtId="0" fontId="0" fillId="0" borderId="40" xfId="0" applyNumberFormat="1" applyFill="1" applyBorder="1" applyAlignment="1" applyProtection="1">
      <alignment vertical="top" wrapText="1"/>
      <protection/>
    </xf>
    <xf numFmtId="189" fontId="0" fillId="0" borderId="41" xfId="452" applyNumberFormat="1" applyFont="1" applyFill="1" applyBorder="1" applyAlignment="1" applyProtection="1">
      <alignment/>
      <protection/>
    </xf>
    <xf numFmtId="189" fontId="0" fillId="76" borderId="8" xfId="463" applyNumberFormat="1" applyFont="1" applyFill="1" applyBorder="1" applyAlignment="1" applyProtection="1">
      <alignment/>
      <protection/>
    </xf>
    <xf numFmtId="0" fontId="1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463" applyFont="1" applyFill="1">
      <alignment/>
      <protection/>
    </xf>
    <xf numFmtId="0" fontId="8" fillId="2" borderId="0" xfId="0" applyFont="1" applyFill="1" applyAlignment="1">
      <alignment horizontal="right"/>
    </xf>
    <xf numFmtId="0" fontId="11" fillId="2" borderId="8" xfId="0" applyNumberFormat="1" applyFont="1" applyFill="1" applyBorder="1" applyAlignment="1" applyProtection="1">
      <alignment horizontal="center" vertical="center" wrapText="1"/>
      <protection/>
    </xf>
    <xf numFmtId="194" fontId="11" fillId="2" borderId="8" xfId="0" applyNumberFormat="1" applyFont="1" applyFill="1" applyBorder="1" applyAlignment="1" applyProtection="1">
      <alignment horizontal="center" wrapText="1"/>
      <protection/>
    </xf>
    <xf numFmtId="41" fontId="0" fillId="2" borderId="8" xfId="855" applyFont="1" applyFill="1" applyBorder="1" applyAlignment="1" applyProtection="1">
      <alignment/>
      <protection/>
    </xf>
    <xf numFmtId="195" fontId="0" fillId="2" borderId="8" xfId="855" applyNumberFormat="1" applyFont="1" applyFill="1" applyBorder="1" applyAlignment="1" applyProtection="1">
      <alignment/>
      <protection/>
    </xf>
    <xf numFmtId="189" fontId="0" fillId="2" borderId="8" xfId="855" applyNumberFormat="1" applyFont="1" applyFill="1" applyBorder="1" applyAlignment="1" applyProtection="1">
      <alignment/>
      <protection/>
    </xf>
    <xf numFmtId="195" fontId="0" fillId="2" borderId="8" xfId="855" applyNumberFormat="1" applyFont="1" applyFill="1" applyBorder="1" applyAlignment="1">
      <alignment/>
    </xf>
    <xf numFmtId="194" fontId="11" fillId="2" borderId="8" xfId="0" applyNumberFormat="1" applyFont="1" applyFill="1" applyBorder="1" applyAlignment="1" applyProtection="1">
      <alignment horizontal="left" wrapText="1"/>
      <protection/>
    </xf>
    <xf numFmtId="194" fontId="0" fillId="2" borderId="8" xfId="0" applyNumberFormat="1" applyFont="1" applyFill="1" applyBorder="1" applyAlignment="1" applyProtection="1">
      <alignment horizontal="left" wrapText="1"/>
      <protection/>
    </xf>
    <xf numFmtId="189" fontId="0" fillId="76" borderId="8" xfId="452" applyNumberFormat="1" applyFont="1" applyFill="1" applyBorder="1" applyAlignment="1" applyProtection="1">
      <alignment/>
      <protection/>
    </xf>
    <xf numFmtId="192" fontId="0" fillId="2" borderId="8" xfId="855" applyNumberFormat="1" applyFont="1" applyFill="1" applyBorder="1" applyAlignment="1" applyProtection="1">
      <alignment/>
      <protection/>
    </xf>
    <xf numFmtId="189" fontId="0" fillId="2" borderId="8" xfId="855" applyNumberFormat="1" applyFont="1" applyFill="1" applyBorder="1" applyAlignment="1">
      <alignment/>
    </xf>
    <xf numFmtId="194" fontId="0" fillId="2" borderId="42" xfId="0" applyNumberFormat="1" applyFont="1" applyFill="1" applyBorder="1" applyAlignment="1" applyProtection="1">
      <alignment horizontal="left" wrapText="1"/>
      <protection/>
    </xf>
    <xf numFmtId="195" fontId="0" fillId="2" borderId="42" xfId="855" applyNumberFormat="1" applyFont="1" applyFill="1" applyBorder="1" applyAlignment="1" applyProtection="1">
      <alignment/>
      <protection/>
    </xf>
    <xf numFmtId="189" fontId="0" fillId="2" borderId="42" xfId="855" applyNumberFormat="1" applyFont="1" applyFill="1" applyBorder="1" applyAlignment="1" applyProtection="1">
      <alignment/>
      <protection/>
    </xf>
    <xf numFmtId="189" fontId="8" fillId="2" borderId="0" xfId="0" applyNumberFormat="1" applyFont="1" applyFill="1" applyAlignment="1">
      <alignment/>
    </xf>
    <xf numFmtId="0" fontId="8" fillId="2" borderId="0" xfId="0" applyFont="1" applyFill="1" applyAlignment="1">
      <alignment horizontal="left" indent="1"/>
    </xf>
    <xf numFmtId="41" fontId="8" fillId="2" borderId="0" xfId="0" applyNumberFormat="1" applyFont="1" applyFill="1" applyAlignment="1">
      <alignment/>
    </xf>
    <xf numFmtId="196" fontId="8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6" fillId="76" borderId="0" xfId="0" applyFont="1" applyFill="1" applyAlignment="1">
      <alignment/>
    </xf>
    <xf numFmtId="0" fontId="6" fillId="2" borderId="0" xfId="0" applyFont="1" applyFill="1" applyAlignment="1">
      <alignment/>
    </xf>
    <xf numFmtId="197" fontId="6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197" fontId="17" fillId="2" borderId="0" xfId="0" applyNumberFormat="1" applyFont="1" applyFill="1" applyAlignment="1">
      <alignment/>
    </xf>
    <xf numFmtId="198" fontId="8" fillId="2" borderId="0" xfId="0" applyNumberFormat="1" applyFont="1" applyFill="1" applyAlignment="1">
      <alignment horizontal="right"/>
    </xf>
    <xf numFmtId="0" fontId="11" fillId="2" borderId="8" xfId="0" applyFont="1" applyFill="1" applyBorder="1" applyAlignment="1">
      <alignment horizontal="center" vertical="center"/>
    </xf>
    <xf numFmtId="197" fontId="11" fillId="2" borderId="8" xfId="0" applyNumberFormat="1" applyFont="1" applyFill="1" applyBorder="1" applyAlignment="1">
      <alignment horizontal="center" vertical="center" wrapText="1"/>
    </xf>
    <xf numFmtId="198" fontId="11" fillId="2" borderId="8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/>
    </xf>
    <xf numFmtId="189" fontId="0" fillId="2" borderId="8" xfId="0" applyNumberFormat="1" applyFont="1" applyFill="1" applyBorder="1" applyAlignment="1">
      <alignment/>
    </xf>
    <xf numFmtId="193" fontId="0" fillId="2" borderId="8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 indent="1"/>
    </xf>
    <xf numFmtId="189" fontId="0" fillId="2" borderId="8" xfId="463" applyNumberFormat="1" applyFont="1" applyFill="1" applyBorder="1">
      <alignment/>
      <protection/>
    </xf>
    <xf numFmtId="0" fontId="0" fillId="2" borderId="8" xfId="0" applyFont="1" applyFill="1" applyBorder="1" applyAlignment="1" applyProtection="1">
      <alignment horizontal="left" indent="1"/>
      <protection locked="0"/>
    </xf>
    <xf numFmtId="189" fontId="0" fillId="76" borderId="8" xfId="463" applyNumberFormat="1" applyFont="1" applyFill="1" applyBorder="1">
      <alignment/>
      <protection/>
    </xf>
    <xf numFmtId="189" fontId="0" fillId="76" borderId="8" xfId="452" applyNumberFormat="1" applyFont="1" applyFill="1" applyBorder="1" applyAlignment="1">
      <alignment/>
      <protection/>
    </xf>
    <xf numFmtId="0" fontId="0" fillId="2" borderId="8" xfId="0" applyFont="1" applyFill="1" applyBorder="1" applyAlignment="1" applyProtection="1">
      <alignment horizontal="left" wrapText="1" indent="1"/>
      <protection locked="0"/>
    </xf>
    <xf numFmtId="189" fontId="0" fillId="76" borderId="8" xfId="0" applyNumberFormat="1" applyFont="1" applyFill="1" applyBorder="1" applyAlignment="1">
      <alignment/>
    </xf>
    <xf numFmtId="0" fontId="0" fillId="2" borderId="8" xfId="452" applyFont="1" applyFill="1" applyBorder="1" applyAlignment="1" applyProtection="1">
      <alignment horizontal="left" indent="1"/>
      <protection locked="0"/>
    </xf>
    <xf numFmtId="0" fontId="0" fillId="2" borderId="8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1"/>
    </xf>
    <xf numFmtId="0" fontId="11" fillId="76" borderId="8" xfId="0" applyFont="1" applyFill="1" applyBorder="1" applyAlignment="1">
      <alignment/>
    </xf>
    <xf numFmtId="193" fontId="0" fillId="76" borderId="8" xfId="0" applyNumberFormat="1" applyFont="1" applyFill="1" applyBorder="1" applyAlignment="1">
      <alignment/>
    </xf>
    <xf numFmtId="0" fontId="0" fillId="76" borderId="8" xfId="0" applyFont="1" applyFill="1" applyBorder="1" applyAlignment="1">
      <alignment horizontal="left" indent="1"/>
    </xf>
    <xf numFmtId="189" fontId="0" fillId="0" borderId="8" xfId="0" applyNumberFormat="1" applyFont="1" applyFill="1" applyBorder="1" applyAlignment="1">
      <alignment/>
    </xf>
    <xf numFmtId="189" fontId="16" fillId="76" borderId="0" xfId="0" applyNumberFormat="1" applyFont="1" applyFill="1" applyAlignment="1">
      <alignment/>
    </xf>
    <xf numFmtId="199" fontId="0" fillId="76" borderId="8" xfId="0" applyNumberFormat="1" applyFont="1" applyFill="1" applyBorder="1" applyAlignment="1">
      <alignment/>
    </xf>
    <xf numFmtId="196" fontId="0" fillId="2" borderId="8" xfId="0" applyNumberFormat="1" applyFont="1" applyFill="1" applyBorder="1" applyAlignment="1">
      <alignment horizontal="left" vertical="center" indent="2"/>
    </xf>
    <xf numFmtId="200" fontId="0" fillId="76" borderId="8" xfId="0" applyNumberFormat="1" applyFont="1" applyFill="1" applyBorder="1" applyAlignment="1">
      <alignment/>
    </xf>
    <xf numFmtId="201" fontId="0" fillId="76" borderId="8" xfId="0" applyNumberFormat="1" applyFont="1" applyFill="1" applyBorder="1" applyAlignment="1">
      <alignment/>
    </xf>
    <xf numFmtId="0" fontId="11" fillId="76" borderId="8" xfId="0" applyFont="1" applyFill="1" applyBorder="1" applyAlignment="1">
      <alignment horizontal="left"/>
    </xf>
    <xf numFmtId="189" fontId="0" fillId="76" borderId="8" xfId="832" applyNumberFormat="1" applyFont="1" applyFill="1" applyBorder="1" applyAlignment="1">
      <alignment/>
    </xf>
    <xf numFmtId="189" fontId="0" fillId="76" borderId="8" xfId="830" applyNumberFormat="1" applyFont="1" applyFill="1" applyBorder="1" applyAlignment="1">
      <alignment/>
    </xf>
    <xf numFmtId="0" fontId="11" fillId="76" borderId="8" xfId="0" applyFont="1" applyFill="1" applyBorder="1" applyAlignment="1">
      <alignment horizontal="left" indent="1"/>
    </xf>
    <xf numFmtId="0" fontId="11" fillId="2" borderId="8" xfId="0" applyFont="1" applyFill="1" applyBorder="1" applyAlignment="1">
      <alignment horizontal="left" indent="3"/>
    </xf>
    <xf numFmtId="0" fontId="11" fillId="2" borderId="8" xfId="0" applyFont="1" applyFill="1" applyBorder="1" applyAlignment="1">
      <alignment horizontal="center"/>
    </xf>
    <xf numFmtId="0" fontId="0" fillId="0" borderId="0" xfId="490">
      <alignment/>
      <protection/>
    </xf>
    <xf numFmtId="0" fontId="12" fillId="0" borderId="0" xfId="490" applyFont="1">
      <alignment/>
      <protection/>
    </xf>
    <xf numFmtId="0" fontId="19" fillId="0" borderId="0" xfId="490" applyFont="1">
      <alignment/>
      <protection/>
    </xf>
    <xf numFmtId="0" fontId="6" fillId="0" borderId="0" xfId="478" applyFont="1" applyFill="1" applyAlignment="1">
      <alignment shrinkToFit="1"/>
      <protection/>
    </xf>
    <xf numFmtId="0" fontId="9" fillId="0" borderId="0" xfId="478" applyFont="1" applyFill="1" applyAlignment="1">
      <alignment shrinkToFit="1"/>
      <protection/>
    </xf>
    <xf numFmtId="0" fontId="10" fillId="0" borderId="0" xfId="478" applyFont="1" applyFill="1" applyAlignment="1">
      <alignment shrinkToFit="1"/>
      <protection/>
    </xf>
    <xf numFmtId="0" fontId="0" fillId="0" borderId="0" xfId="478" applyFont="1" applyFill="1" applyAlignment="1">
      <alignment wrapText="1"/>
      <protection/>
    </xf>
    <xf numFmtId="0" fontId="6" fillId="0" borderId="0" xfId="478" applyFont="1" applyFill="1" applyAlignment="1">
      <alignment wrapText="1"/>
      <protection/>
    </xf>
    <xf numFmtId="0" fontId="6" fillId="0" borderId="0" xfId="478" applyFont="1" applyFill="1">
      <alignment/>
      <protection/>
    </xf>
    <xf numFmtId="0" fontId="5" fillId="0" borderId="0" xfId="478" applyFont="1" applyFill="1" applyAlignment="1">
      <alignment wrapText="1"/>
      <protection/>
    </xf>
    <xf numFmtId="0" fontId="8" fillId="0" borderId="0" xfId="478" applyFont="1" applyFill="1" applyAlignment="1">
      <alignment wrapText="1"/>
      <protection/>
    </xf>
    <xf numFmtId="0" fontId="8" fillId="0" borderId="0" xfId="478" applyFont="1" applyFill="1" applyAlignment="1">
      <alignment horizontal="right" vertical="center"/>
      <protection/>
    </xf>
    <xf numFmtId="0" fontId="0" fillId="0" borderId="8" xfId="478" applyNumberFormat="1" applyFont="1" applyFill="1" applyBorder="1" applyAlignment="1" applyProtection="1">
      <alignment horizontal="center" vertical="center" shrinkToFit="1"/>
      <protection/>
    </xf>
    <xf numFmtId="0" fontId="11" fillId="0" borderId="8" xfId="478" applyFont="1" applyFill="1" applyBorder="1" applyAlignment="1">
      <alignment shrinkToFit="1"/>
      <protection/>
    </xf>
    <xf numFmtId="190" fontId="11" fillId="0" borderId="8" xfId="478" applyNumberFormat="1" applyFont="1" applyFill="1" applyBorder="1" applyAlignment="1" applyProtection="1">
      <alignment shrinkToFit="1"/>
      <protection/>
    </xf>
    <xf numFmtId="190" fontId="11" fillId="0" borderId="8" xfId="478" applyNumberFormat="1" applyFont="1" applyFill="1" applyBorder="1" applyAlignment="1">
      <alignment shrinkToFit="1"/>
      <protection/>
    </xf>
    <xf numFmtId="0" fontId="0" fillId="0" borderId="8" xfId="478" applyNumberFormat="1" applyFont="1" applyFill="1" applyBorder="1" applyAlignment="1" applyProtection="1">
      <alignment vertical="center" shrinkToFit="1"/>
      <protection/>
    </xf>
    <xf numFmtId="190" fontId="0" fillId="0" borderId="8" xfId="478" applyNumberFormat="1" applyFont="1" applyFill="1" applyBorder="1" applyAlignment="1" applyProtection="1">
      <alignment shrinkToFit="1"/>
      <protection/>
    </xf>
    <xf numFmtId="190" fontId="0" fillId="0" borderId="8" xfId="478" applyNumberFormat="1" applyFont="1" applyFill="1" applyBorder="1" applyAlignment="1">
      <alignment shrinkToFit="1"/>
      <protection/>
    </xf>
    <xf numFmtId="0" fontId="0" fillId="0" borderId="8" xfId="478" applyNumberFormat="1" applyFont="1" applyFill="1" applyBorder="1" applyAlignment="1" applyProtection="1">
      <alignment horizontal="left" vertical="top" shrinkToFit="1"/>
      <protection/>
    </xf>
    <xf numFmtId="0" fontId="0" fillId="0" borderId="34" xfId="0" applyFont="1" applyFill="1" applyBorder="1" applyAlignment="1">
      <alignment horizontal="left" vertical="center"/>
    </xf>
    <xf numFmtId="202" fontId="0" fillId="0" borderId="34" xfId="0" applyNumberFormat="1" applyFill="1" applyBorder="1" applyAlignment="1">
      <alignment vertical="center"/>
    </xf>
    <xf numFmtId="0" fontId="0" fillId="0" borderId="34" xfId="0" applyFill="1" applyBorder="1" applyAlignment="1">
      <alignment horizontal="left" vertical="center" indent="2"/>
    </xf>
    <xf numFmtId="0" fontId="20" fillId="0" borderId="34" xfId="0" applyFont="1" applyFill="1" applyBorder="1" applyAlignment="1">
      <alignment horizontal="left" vertical="center" indent="2"/>
    </xf>
    <xf numFmtId="0" fontId="0" fillId="0" borderId="34" xfId="0" applyFont="1" applyFill="1" applyBorder="1" applyAlignment="1">
      <alignment horizontal="left" vertical="center" indent="2"/>
    </xf>
    <xf numFmtId="202" fontId="0" fillId="0" borderId="43" xfId="0" applyNumberFormat="1" applyFill="1" applyBorder="1" applyAlignment="1">
      <alignment vertical="center"/>
    </xf>
    <xf numFmtId="190" fontId="11" fillId="0" borderId="38" xfId="478" applyNumberFormat="1" applyFont="1" applyFill="1" applyBorder="1" applyAlignment="1" applyProtection="1">
      <alignment shrinkToFit="1"/>
      <protection/>
    </xf>
    <xf numFmtId="190" fontId="11" fillId="0" borderId="38" xfId="478" applyNumberFormat="1" applyFont="1" applyFill="1" applyBorder="1" applyAlignment="1">
      <alignment shrinkToFit="1"/>
      <protection/>
    </xf>
    <xf numFmtId="0" fontId="0" fillId="0" borderId="35" xfId="0" applyFill="1" applyBorder="1" applyAlignment="1">
      <alignment vertical="center"/>
    </xf>
    <xf numFmtId="0" fontId="6" fillId="0" borderId="8" xfId="478" applyFont="1" applyFill="1" applyBorder="1">
      <alignment/>
      <protection/>
    </xf>
    <xf numFmtId="0" fontId="0" fillId="0" borderId="44" xfId="0" applyFill="1" applyBorder="1" applyAlignment="1">
      <alignment vertical="center"/>
    </xf>
    <xf numFmtId="4" fontId="0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478" applyFont="1" applyFill="1" applyBorder="1">
      <alignment/>
      <protection/>
    </xf>
    <xf numFmtId="0" fontId="0" fillId="0" borderId="35" xfId="0" applyFont="1" applyFill="1" applyBorder="1" applyAlignment="1">
      <alignment horizontal="left" vertical="center" indent="2"/>
    </xf>
    <xf numFmtId="0" fontId="0" fillId="0" borderId="34" xfId="0" applyFont="1" applyFill="1" applyBorder="1" applyAlignment="1">
      <alignment vertical="center"/>
    </xf>
    <xf numFmtId="0" fontId="0" fillId="0" borderId="0" xfId="495" applyFont="1" applyFill="1">
      <alignment/>
      <protection/>
    </xf>
    <xf numFmtId="0" fontId="0" fillId="0" borderId="0" xfId="495" applyFill="1">
      <alignment/>
      <protection/>
    </xf>
    <xf numFmtId="0" fontId="5" fillId="0" borderId="0" xfId="495" applyFont="1" applyFill="1">
      <alignment/>
      <protection/>
    </xf>
    <xf numFmtId="192" fontId="0" fillId="0" borderId="0" xfId="842" applyNumberFormat="1" applyFont="1" applyFill="1" applyAlignment="1">
      <alignment vertical="center"/>
    </xf>
    <xf numFmtId="192" fontId="0" fillId="0" borderId="45" xfId="842" applyNumberFormat="1" applyFont="1" applyFill="1" applyBorder="1" applyAlignment="1">
      <alignment horizontal="center" vertical="center"/>
    </xf>
    <xf numFmtId="192" fontId="8" fillId="0" borderId="45" xfId="842" applyNumberFormat="1" applyFont="1" applyFill="1" applyBorder="1" applyAlignment="1">
      <alignment horizontal="right" vertical="center"/>
    </xf>
    <xf numFmtId="192" fontId="11" fillId="0" borderId="8" xfId="842" applyNumberFormat="1" applyFont="1" applyFill="1" applyBorder="1" applyAlignment="1">
      <alignment horizontal="center" vertical="center"/>
    </xf>
    <xf numFmtId="0" fontId="11" fillId="0" borderId="8" xfId="842" applyNumberFormat="1" applyFont="1" applyFill="1" applyBorder="1" applyAlignment="1">
      <alignment horizontal="left" vertical="center" indent="1"/>
    </xf>
    <xf numFmtId="192" fontId="0" fillId="0" borderId="8" xfId="842" applyNumberFormat="1" applyFont="1" applyFill="1" applyBorder="1" applyAlignment="1">
      <alignment vertical="center"/>
    </xf>
    <xf numFmtId="0" fontId="0" fillId="0" borderId="8" xfId="842" applyNumberFormat="1" applyFont="1" applyFill="1" applyBorder="1" applyAlignment="1">
      <alignment horizontal="left" vertical="center" indent="1"/>
    </xf>
    <xf numFmtId="192" fontId="0" fillId="76" borderId="8" xfId="842" applyNumberFormat="1" applyFont="1" applyFill="1" applyBorder="1" applyAlignment="1">
      <alignment vertical="center"/>
    </xf>
    <xf numFmtId="0" fontId="0" fillId="0" borderId="8" xfId="842" applyNumberFormat="1" applyFont="1" applyFill="1" applyBorder="1" applyAlignment="1">
      <alignment horizontal="left" vertical="center" indent="2"/>
    </xf>
    <xf numFmtId="0" fontId="0" fillId="0" borderId="8" xfId="495" applyFont="1" applyFill="1" applyBorder="1">
      <alignment/>
      <protection/>
    </xf>
    <xf numFmtId="0" fontId="0" fillId="0" borderId="8" xfId="842" applyNumberFormat="1" applyFont="1" applyFill="1" applyBorder="1" applyAlignment="1">
      <alignment horizontal="left" vertical="center" indent="2" shrinkToFit="1"/>
    </xf>
    <xf numFmtId="41" fontId="0" fillId="76" borderId="8" xfId="856" applyFont="1" applyFill="1" applyBorder="1" applyAlignment="1" applyProtection="1">
      <alignment vertical="center"/>
      <protection/>
    </xf>
    <xf numFmtId="0" fontId="21" fillId="0" borderId="46" xfId="842" applyNumberFormat="1" applyFont="1" applyFill="1" applyBorder="1" applyAlignment="1">
      <alignment vertical="center"/>
    </xf>
    <xf numFmtId="192" fontId="11" fillId="0" borderId="8" xfId="842" applyNumberFormat="1" applyFont="1" applyFill="1" applyBorder="1" applyAlignment="1">
      <alignment horizontal="left" vertical="center"/>
    </xf>
    <xf numFmtId="0" fontId="11" fillId="77" borderId="8" xfId="842" applyNumberFormat="1" applyFont="1" applyFill="1" applyBorder="1" applyAlignment="1">
      <alignment vertical="center" shrinkToFit="1"/>
    </xf>
    <xf numFmtId="41" fontId="0" fillId="0" borderId="8" xfId="507" applyNumberFormat="1" applyFont="1" applyFill="1" applyBorder="1" applyAlignment="1" applyProtection="1">
      <alignment horizontal="left" vertical="center" indent="2"/>
      <protection/>
    </xf>
    <xf numFmtId="41" fontId="0" fillId="76" borderId="8" xfId="856" applyFont="1" applyFill="1" applyBorder="1" applyAlignment="1" applyProtection="1">
      <alignment horizontal="right" vertical="center"/>
      <protection/>
    </xf>
    <xf numFmtId="0" fontId="6" fillId="0" borderId="0" xfId="452" applyFont="1" applyFill="1">
      <alignment/>
      <protection/>
    </xf>
    <xf numFmtId="189" fontId="6" fillId="0" borderId="0" xfId="452" applyNumberFormat="1" applyFont="1" applyFill="1">
      <alignment/>
      <protection/>
    </xf>
    <xf numFmtId="0" fontId="6" fillId="0" borderId="0" xfId="452" applyFont="1" applyFill="1" applyBorder="1">
      <alignment/>
      <protection/>
    </xf>
    <xf numFmtId="0" fontId="5" fillId="0" borderId="0" xfId="452" applyFont="1" applyFill="1">
      <alignment/>
      <protection/>
    </xf>
    <xf numFmtId="0" fontId="8" fillId="0" borderId="0" xfId="452" applyFont="1" applyFill="1">
      <alignment/>
      <protection/>
    </xf>
    <xf numFmtId="189" fontId="1" fillId="0" borderId="0" xfId="452" applyNumberFormat="1" applyFont="1" applyFill="1" applyAlignment="1">
      <alignment horizontal="right"/>
      <protection/>
    </xf>
    <xf numFmtId="0" fontId="1" fillId="0" borderId="0" xfId="452" applyFont="1" applyFill="1" applyAlignment="1">
      <alignment horizontal="right"/>
      <protection/>
    </xf>
    <xf numFmtId="0" fontId="8" fillId="0" borderId="0" xfId="452" applyFont="1" applyFill="1" applyAlignment="1">
      <alignment horizontal="right"/>
      <protection/>
    </xf>
    <xf numFmtId="0" fontId="11" fillId="0" borderId="0" xfId="452" applyFont="1" applyFill="1">
      <alignment/>
      <protection/>
    </xf>
    <xf numFmtId="0" fontId="0" fillId="0" borderId="36" xfId="452" applyNumberFormat="1" applyFont="1" applyFill="1" applyBorder="1" applyAlignment="1" applyProtection="1">
      <alignment horizontal="left" vertical="top" wrapText="1"/>
      <protection/>
    </xf>
    <xf numFmtId="189" fontId="0" fillId="0" borderId="8" xfId="452" applyNumberFormat="1" applyFont="1" applyFill="1" applyBorder="1" applyAlignment="1" applyProtection="1">
      <alignment horizontal="right"/>
      <protection/>
    </xf>
    <xf numFmtId="196" fontId="0" fillId="0" borderId="8" xfId="452" applyNumberFormat="1" applyFont="1" applyFill="1" applyBorder="1" applyAlignment="1">
      <alignment horizontal="right"/>
      <protection/>
    </xf>
    <xf numFmtId="0" fontId="0" fillId="0" borderId="0" xfId="452" applyFont="1" applyFill="1">
      <alignment/>
      <protection/>
    </xf>
    <xf numFmtId="0" fontId="11" fillId="0" borderId="8" xfId="452" applyNumberFormat="1" applyFont="1" applyFill="1" applyBorder="1" applyAlignment="1" applyProtection="1">
      <alignment horizontal="left" vertical="top" shrinkToFit="1"/>
      <protection/>
    </xf>
    <xf numFmtId="189" fontId="11" fillId="0" borderId="8" xfId="452" applyNumberFormat="1" applyFont="1" applyFill="1" applyBorder="1" applyAlignment="1" applyProtection="1">
      <alignment horizontal="right" shrinkToFit="1"/>
      <protection/>
    </xf>
    <xf numFmtId="196" fontId="11" fillId="0" borderId="8" xfId="452" applyNumberFormat="1" applyFont="1" applyFill="1" applyBorder="1" applyAlignment="1">
      <alignment horizontal="right" shrinkToFit="1"/>
      <protection/>
    </xf>
    <xf numFmtId="0" fontId="0" fillId="0" borderId="47" xfId="0" applyNumberFormat="1" applyFont="1" applyFill="1" applyBorder="1" applyAlignment="1" applyProtection="1">
      <alignment horizontal="left" vertical="top" wrapText="1"/>
      <protection/>
    </xf>
    <xf numFmtId="189" fontId="0" fillId="0" borderId="37" xfId="0" applyNumberFormat="1" applyFont="1" applyFill="1" applyBorder="1" applyAlignment="1" applyProtection="1">
      <alignment/>
      <protection/>
    </xf>
    <xf numFmtId="196" fontId="0" fillId="0" borderId="8" xfId="452" applyNumberFormat="1" applyFont="1" applyFill="1" applyBorder="1" applyAlignment="1">
      <alignment horizontal="right" shrinkToFit="1"/>
      <protection/>
    </xf>
    <xf numFmtId="0" fontId="0" fillId="0" borderId="47" xfId="0" applyNumberFormat="1" applyFill="1" applyBorder="1" applyAlignment="1" applyProtection="1">
      <alignment horizontal="left" vertical="top" wrapText="1"/>
      <protection/>
    </xf>
    <xf numFmtId="0" fontId="13" fillId="0" borderId="34" xfId="0" applyFont="1" applyFill="1" applyBorder="1" applyAlignment="1">
      <alignment vertical="center" wrapText="1"/>
    </xf>
    <xf numFmtId="189" fontId="0" fillId="0" borderId="34" xfId="0" applyNumberFormat="1" applyFill="1" applyBorder="1" applyAlignment="1">
      <alignment horizontal="right" vertical="center"/>
    </xf>
    <xf numFmtId="189" fontId="0" fillId="0" borderId="37" xfId="0" applyNumberFormat="1" applyFill="1" applyBorder="1" applyAlignment="1" applyProtection="1">
      <alignment/>
      <protection/>
    </xf>
    <xf numFmtId="189" fontId="0" fillId="0" borderId="48" xfId="0" applyNumberFormat="1" applyFont="1" applyFill="1" applyBorder="1" applyAlignment="1" applyProtection="1">
      <alignment/>
      <protection/>
    </xf>
    <xf numFmtId="189" fontId="0" fillId="0" borderId="8" xfId="0" applyNumberFormat="1" applyFont="1" applyFill="1" applyBorder="1" applyAlignment="1" applyProtection="1">
      <alignment/>
      <protection/>
    </xf>
    <xf numFmtId="189" fontId="0" fillId="0" borderId="49" xfId="0" applyNumberFormat="1" applyFont="1" applyFill="1" applyBorder="1" applyAlignment="1" applyProtection="1">
      <alignment/>
      <protection/>
    </xf>
    <xf numFmtId="189" fontId="0" fillId="0" borderId="49" xfId="0" applyNumberFormat="1" applyFill="1" applyBorder="1" applyAlignment="1" applyProtection="1">
      <alignment/>
      <protection/>
    </xf>
    <xf numFmtId="189" fontId="0" fillId="0" borderId="8" xfId="0" applyNumberFormat="1" applyFill="1" applyBorder="1" applyAlignment="1">
      <alignment horizontal="right" vertical="center"/>
    </xf>
    <xf numFmtId="189" fontId="0" fillId="0" borderId="50" xfId="0" applyNumberFormat="1" applyFill="1" applyBorder="1" applyAlignment="1">
      <alignment horizontal="right" vertical="center"/>
    </xf>
    <xf numFmtId="189" fontId="0" fillId="0" borderId="43" xfId="0" applyNumberFormat="1" applyFill="1" applyBorder="1" applyAlignment="1">
      <alignment horizontal="right" vertical="center"/>
    </xf>
    <xf numFmtId="189" fontId="0" fillId="0" borderId="41" xfId="0" applyNumberFormat="1" applyFont="1" applyFill="1" applyBorder="1" applyAlignment="1" applyProtection="1">
      <alignment/>
      <protection/>
    </xf>
    <xf numFmtId="189" fontId="0" fillId="0" borderId="0" xfId="0" applyNumberFormat="1" applyFill="1" applyBorder="1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left" vertical="top" wrapText="1"/>
      <protection/>
    </xf>
    <xf numFmtId="189" fontId="0" fillId="0" borderId="0" xfId="0" applyNumberFormat="1" applyFont="1" applyFill="1" applyBorder="1" applyAlignment="1" applyProtection="1">
      <alignment/>
      <protection/>
    </xf>
    <xf numFmtId="196" fontId="0" fillId="0" borderId="38" xfId="452" applyNumberFormat="1" applyFont="1" applyFill="1" applyBorder="1" applyAlignment="1">
      <alignment horizontal="right" shrinkToFit="1"/>
      <protection/>
    </xf>
    <xf numFmtId="189" fontId="0" fillId="0" borderId="47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9" fontId="6" fillId="0" borderId="0" xfId="452" applyNumberFormat="1" applyFont="1" applyFill="1" applyAlignment="1">
      <alignment horizontal="right"/>
      <protection/>
    </xf>
    <xf numFmtId="0" fontId="6" fillId="0" borderId="0" xfId="452" applyFont="1" applyFill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11" fillId="0" borderId="36" xfId="452" applyNumberFormat="1" applyFont="1" applyFill="1" applyBorder="1" applyAlignment="1" applyProtection="1">
      <alignment horizontal="center" vertical="center" wrapText="1"/>
      <protection/>
    </xf>
    <xf numFmtId="0" fontId="11" fillId="0" borderId="36" xfId="452" applyNumberFormat="1" applyFont="1" applyFill="1" applyBorder="1" applyAlignment="1" applyProtection="1">
      <alignment horizontal="left" vertical="top" wrapText="1"/>
      <protection/>
    </xf>
    <xf numFmtId="49" fontId="13" fillId="0" borderId="34" xfId="0" applyNumberFormat="1" applyFont="1" applyFill="1" applyBorder="1" applyAlignment="1">
      <alignment horizontal="left" vertical="center" indent="2"/>
    </xf>
    <xf numFmtId="49" fontId="13" fillId="0" borderId="35" xfId="0" applyNumberFormat="1" applyFont="1" applyFill="1" applyBorder="1" applyAlignment="1">
      <alignment horizontal="left" vertical="center" indent="2"/>
    </xf>
    <xf numFmtId="0" fontId="0" fillId="0" borderId="51" xfId="452" applyNumberFormat="1" applyFont="1" applyFill="1" applyBorder="1" applyAlignment="1" applyProtection="1">
      <alignment horizontal="left" vertical="top" wrapText="1"/>
      <protection/>
    </xf>
    <xf numFmtId="0" fontId="0" fillId="0" borderId="52" xfId="452" applyNumberFormat="1" applyFont="1" applyFill="1" applyBorder="1" applyAlignment="1" applyProtection="1">
      <alignment horizontal="left" vertical="top" wrapText="1"/>
      <protection/>
    </xf>
    <xf numFmtId="49" fontId="13" fillId="0" borderId="34" xfId="0" applyNumberFormat="1" applyFont="1" applyFill="1" applyBorder="1" applyAlignment="1">
      <alignment horizontal="left" vertical="center" indent="1"/>
    </xf>
    <xf numFmtId="194" fontId="13" fillId="0" borderId="34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vertical="center"/>
    </xf>
    <xf numFmtId="194" fontId="13" fillId="0" borderId="0" xfId="0" applyNumberFormat="1" applyFont="1" applyFill="1" applyBorder="1" applyAlignment="1">
      <alignment vertical="center" wrapText="1"/>
    </xf>
    <xf numFmtId="0" fontId="0" fillId="0" borderId="47" xfId="453" applyNumberFormat="1" applyFont="1" applyFill="1" applyBorder="1" applyAlignment="1" applyProtection="1">
      <alignment horizontal="left" vertical="top" wrapText="1"/>
      <protection/>
    </xf>
    <xf numFmtId="203" fontId="0" fillId="0" borderId="8" xfId="0" applyNumberFormat="1" applyFont="1" applyFill="1" applyBorder="1" applyAlignment="1" applyProtection="1">
      <alignment/>
      <protection/>
    </xf>
    <xf numFmtId="0" fontId="11" fillId="0" borderId="47" xfId="0" applyNumberFormat="1" applyFont="1" applyFill="1" applyBorder="1" applyAlignment="1" applyProtection="1">
      <alignment horizontal="left" vertical="top" wrapText="1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189" fontId="6" fillId="2" borderId="0" xfId="0" applyNumberFormat="1" applyFont="1" applyFill="1" applyAlignment="1">
      <alignment horizontal="right"/>
    </xf>
    <xf numFmtId="0" fontId="8" fillId="2" borderId="0" xfId="463" applyFont="1" applyFill="1" applyAlignment="1">
      <alignment horizontal="right"/>
      <protection/>
    </xf>
    <xf numFmtId="0" fontId="11" fillId="2" borderId="8" xfId="0" applyNumberFormat="1" applyFont="1" applyFill="1" applyBorder="1" applyAlignment="1" applyProtection="1">
      <alignment horizontal="center" wrapText="1"/>
      <protection/>
    </xf>
    <xf numFmtId="203" fontId="0" fillId="2" borderId="8" xfId="0" applyNumberFormat="1" applyFont="1" applyFill="1" applyBorder="1" applyAlignment="1" applyProtection="1">
      <alignment wrapText="1"/>
      <protection/>
    </xf>
    <xf numFmtId="196" fontId="0" fillId="2" borderId="8" xfId="0" applyNumberFormat="1" applyFont="1" applyFill="1" applyBorder="1" applyAlignment="1">
      <alignment/>
    </xf>
    <xf numFmtId="0" fontId="11" fillId="2" borderId="8" xfId="0" applyNumberFormat="1" applyFont="1" applyFill="1" applyBorder="1" applyAlignment="1" applyProtection="1">
      <alignment wrapText="1"/>
      <protection/>
    </xf>
    <xf numFmtId="0" fontId="0" fillId="2" borderId="8" xfId="0" applyNumberFormat="1" applyFont="1" applyFill="1" applyBorder="1" applyAlignment="1" applyProtection="1">
      <alignment wrapText="1"/>
      <protection/>
    </xf>
    <xf numFmtId="203" fontId="0" fillId="2" borderId="37" xfId="0" applyNumberFormat="1" applyFont="1" applyFill="1" applyBorder="1" applyAlignment="1" applyProtection="1">
      <alignment/>
      <protection/>
    </xf>
    <xf numFmtId="189" fontId="0" fillId="2" borderId="8" xfId="452" applyNumberFormat="1" applyFont="1" applyFill="1" applyBorder="1" applyAlignment="1" applyProtection="1">
      <alignment horizontal="right"/>
      <protection/>
    </xf>
    <xf numFmtId="189" fontId="0" fillId="76" borderId="8" xfId="503" applyNumberFormat="1" applyFont="1" applyFill="1" applyBorder="1" applyAlignment="1" applyProtection="1">
      <alignment horizontal="right"/>
      <protection/>
    </xf>
    <xf numFmtId="203" fontId="0" fillId="2" borderId="8" xfId="0" applyNumberFormat="1" applyFont="1" applyFill="1" applyBorder="1" applyAlignment="1" applyProtection="1">
      <alignment/>
      <protection/>
    </xf>
    <xf numFmtId="189" fontId="0" fillId="76" borderId="8" xfId="0" applyNumberFormat="1" applyFill="1" applyBorder="1" applyAlignment="1">
      <alignment horizontal="right" vertical="center"/>
    </xf>
    <xf numFmtId="189" fontId="0" fillId="76" borderId="38" xfId="0" applyNumberFormat="1" applyFill="1" applyBorder="1" applyAlignment="1">
      <alignment horizontal="right" vertical="center"/>
    </xf>
    <xf numFmtId="203" fontId="0" fillId="2" borderId="8" xfId="0" applyNumberFormat="1" applyFill="1" applyBorder="1" applyAlignment="1">
      <alignment vertical="center"/>
    </xf>
    <xf numFmtId="203" fontId="0" fillId="78" borderId="49" xfId="0" applyNumberFormat="1" applyFont="1" applyFill="1" applyBorder="1" applyAlignment="1" applyProtection="1">
      <alignment/>
      <protection/>
    </xf>
    <xf numFmtId="203" fontId="0" fillId="0" borderId="49" xfId="0" applyNumberFormat="1" applyFont="1" applyFill="1" applyBorder="1" applyAlignment="1" applyProtection="1">
      <alignment/>
      <protection/>
    </xf>
    <xf numFmtId="203" fontId="0" fillId="78" borderId="53" xfId="0" applyNumberFormat="1" applyFont="1" applyFill="1" applyBorder="1" applyAlignment="1" applyProtection="1">
      <alignment/>
      <protection/>
    </xf>
    <xf numFmtId="203" fontId="0" fillId="2" borderId="8" xfId="856" applyNumberFormat="1" applyFont="1" applyFill="1" applyBorder="1" applyAlignment="1" applyProtection="1">
      <alignment wrapText="1"/>
      <protection/>
    </xf>
    <xf numFmtId="204" fontId="0" fillId="2" borderId="8" xfId="0" applyNumberFormat="1" applyFont="1" applyFill="1" applyBorder="1" applyAlignment="1" applyProtection="1">
      <alignment/>
      <protection/>
    </xf>
    <xf numFmtId="203" fontId="0" fillId="78" borderId="37" xfId="0" applyNumberFormat="1" applyFont="1" applyFill="1" applyBorder="1" applyAlignment="1" applyProtection="1">
      <alignment/>
      <protection/>
    </xf>
    <xf numFmtId="203" fontId="0" fillId="76" borderId="8" xfId="0" applyNumberFormat="1" applyFont="1" applyFill="1" applyBorder="1" applyAlignment="1" applyProtection="1">
      <alignment/>
      <protection/>
    </xf>
    <xf numFmtId="203" fontId="0" fillId="2" borderId="8" xfId="0" applyNumberFormat="1" applyFont="1" applyFill="1" applyBorder="1" applyAlignment="1">
      <alignment/>
    </xf>
    <xf numFmtId="189" fontId="8" fillId="2" borderId="0" xfId="463" applyNumberFormat="1" applyFont="1" applyFill="1">
      <alignment/>
      <protection/>
    </xf>
    <xf numFmtId="0" fontId="11" fillId="2" borderId="51" xfId="463" applyFont="1" applyFill="1" applyBorder="1" applyAlignment="1" applyProtection="1">
      <alignment horizontal="center" vertical="center" wrapText="1"/>
      <protection/>
    </xf>
    <xf numFmtId="0" fontId="11" fillId="2" borderId="8" xfId="463" applyFont="1" applyFill="1" applyBorder="1" applyAlignment="1" applyProtection="1">
      <alignment horizontal="center" vertical="center" wrapText="1"/>
      <protection/>
    </xf>
    <xf numFmtId="0" fontId="11" fillId="0" borderId="8" xfId="463" applyFont="1" applyFill="1" applyBorder="1" applyAlignment="1" applyProtection="1">
      <alignment horizontal="center" vertical="center" wrapText="1"/>
      <protection/>
    </xf>
    <xf numFmtId="0" fontId="11" fillId="0" borderId="54" xfId="463" applyFont="1" applyFill="1" applyBorder="1" applyAlignment="1" applyProtection="1">
      <alignment horizontal="center" vertical="center" wrapText="1"/>
      <protection/>
    </xf>
    <xf numFmtId="0" fontId="11" fillId="0" borderId="38" xfId="463" applyFont="1" applyFill="1" applyBorder="1" applyAlignment="1" applyProtection="1">
      <alignment horizontal="center" vertical="center" wrapText="1"/>
      <protection/>
    </xf>
    <xf numFmtId="0" fontId="11" fillId="2" borderId="38" xfId="463" applyFont="1" applyFill="1" applyBorder="1" applyAlignment="1" applyProtection="1">
      <alignment horizontal="center" vertical="center" wrapText="1"/>
      <protection/>
    </xf>
    <xf numFmtId="0" fontId="11" fillId="2" borderId="36" xfId="0" applyNumberFormat="1" applyFont="1" applyFill="1" applyBorder="1" applyAlignment="1" applyProtection="1">
      <alignment horizontal="center" vertical="center" wrapText="1"/>
      <protection/>
    </xf>
    <xf numFmtId="189" fontId="0" fillId="0" borderId="8" xfId="463" applyNumberFormat="1" applyFont="1" applyFill="1" applyBorder="1" applyAlignment="1" applyProtection="1">
      <alignment/>
      <protection/>
    </xf>
    <xf numFmtId="193" fontId="0" fillId="0" borderId="8" xfId="463" applyNumberFormat="1" applyFont="1" applyFill="1" applyBorder="1" applyAlignment="1" applyProtection="1">
      <alignment/>
      <protection/>
    </xf>
    <xf numFmtId="189" fontId="11" fillId="2" borderId="36" xfId="463" applyNumberFormat="1" applyFont="1" applyFill="1" applyBorder="1" applyAlignment="1" applyProtection="1">
      <alignment/>
      <protection/>
    </xf>
    <xf numFmtId="189" fontId="0" fillId="0" borderId="54" xfId="463" applyNumberFormat="1" applyFont="1" applyFill="1" applyBorder="1" applyAlignment="1" applyProtection="1">
      <alignment/>
      <protection/>
    </xf>
    <xf numFmtId="189" fontId="0" fillId="2" borderId="36" xfId="463" applyNumberFormat="1" applyFont="1" applyFill="1" applyBorder="1" applyAlignment="1" applyProtection="1">
      <alignment/>
      <protection/>
    </xf>
    <xf numFmtId="189" fontId="0" fillId="0" borderId="8" xfId="466" applyNumberFormat="1" applyBorder="1">
      <alignment/>
      <protection/>
    </xf>
    <xf numFmtId="189" fontId="0" fillId="2" borderId="54" xfId="463" applyNumberFormat="1" applyFont="1" applyFill="1" applyBorder="1" applyAlignment="1" applyProtection="1">
      <alignment/>
      <protection/>
    </xf>
    <xf numFmtId="189" fontId="0" fillId="2" borderId="8" xfId="0" applyNumberFormat="1" applyFont="1" applyFill="1" applyBorder="1" applyAlignment="1">
      <alignment/>
    </xf>
    <xf numFmtId="0" fontId="11" fillId="2" borderId="38" xfId="0" applyFont="1" applyFill="1" applyBorder="1" applyAlignment="1" applyProtection="1">
      <alignment horizontal="center" vertical="center" wrapText="1"/>
      <protection/>
    </xf>
    <xf numFmtId="196" fontId="0" fillId="2" borderId="8" xfId="463" applyNumberFormat="1" applyFont="1" applyFill="1" applyBorder="1">
      <alignment/>
      <protection/>
    </xf>
    <xf numFmtId="0" fontId="6" fillId="2" borderId="0" xfId="452" applyFont="1" applyFill="1">
      <alignment/>
      <protection/>
    </xf>
    <xf numFmtId="0" fontId="5" fillId="2" borderId="0" xfId="452" applyFont="1" applyFill="1">
      <alignment/>
      <protection/>
    </xf>
    <xf numFmtId="0" fontId="12" fillId="2" borderId="0" xfId="463" applyFont="1" applyFill="1" applyAlignment="1">
      <alignment horizontal="center"/>
      <protection/>
    </xf>
    <xf numFmtId="189" fontId="12" fillId="2" borderId="0" xfId="463" applyNumberFormat="1" applyFont="1" applyFill="1" applyAlignment="1">
      <alignment horizontal="center"/>
      <protection/>
    </xf>
    <xf numFmtId="0" fontId="11" fillId="2" borderId="8" xfId="452" applyFont="1" applyFill="1" applyBorder="1" applyAlignment="1" applyProtection="1">
      <alignment horizontal="center" vertical="center" wrapText="1"/>
      <protection/>
    </xf>
    <xf numFmtId="0" fontId="11" fillId="2" borderId="36" xfId="452" applyNumberFormat="1" applyFont="1" applyFill="1" applyBorder="1" applyAlignment="1" applyProtection="1">
      <alignment horizontal="center" vertical="center" wrapText="1"/>
      <protection/>
    </xf>
    <xf numFmtId="189" fontId="11" fillId="2" borderId="8" xfId="463" applyNumberFormat="1" applyFont="1" applyFill="1" applyBorder="1" applyAlignment="1" applyProtection="1">
      <alignment horizontal="center" vertical="center" wrapText="1"/>
      <protection/>
    </xf>
    <xf numFmtId="193" fontId="11" fillId="2" borderId="8" xfId="463" applyNumberFormat="1" applyFont="1" applyFill="1" applyBorder="1" applyAlignment="1" applyProtection="1">
      <alignment vertical="center"/>
      <protection/>
    </xf>
    <xf numFmtId="196" fontId="11" fillId="2" borderId="8" xfId="463" applyNumberFormat="1" applyFont="1" applyFill="1" applyBorder="1" applyAlignment="1">
      <alignment vertical="center"/>
      <protection/>
    </xf>
    <xf numFmtId="189" fontId="11" fillId="2" borderId="8" xfId="463" applyNumberFormat="1" applyFont="1" applyFill="1" applyBorder="1" applyAlignment="1" applyProtection="1">
      <alignment/>
      <protection/>
    </xf>
    <xf numFmtId="204" fontId="0" fillId="0" borderId="8" xfId="0" applyNumberFormat="1" applyBorder="1" applyAlignment="1">
      <alignment vertical="center"/>
    </xf>
    <xf numFmtId="189" fontId="0" fillId="76" borderId="8" xfId="467" applyNumberFormat="1" applyFont="1" applyFill="1" applyBorder="1" applyAlignment="1" applyProtection="1">
      <alignment horizontal="right"/>
      <protection/>
    </xf>
    <xf numFmtId="204" fontId="0" fillId="76" borderId="8" xfId="0" applyNumberForma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189" fontId="0" fillId="2" borderId="41" xfId="0" applyNumberFormat="1" applyFill="1" applyBorder="1" applyAlignment="1">
      <alignment horizontal="right" vertical="center"/>
    </xf>
    <xf numFmtId="203" fontId="0" fillId="0" borderId="8" xfId="472" applyNumberFormat="1" applyBorder="1">
      <alignment/>
      <protection/>
    </xf>
    <xf numFmtId="204" fontId="0" fillId="2" borderId="8" xfId="0" applyNumberFormat="1" applyFill="1" applyBorder="1" applyAlignment="1">
      <alignment horizontal="right" vertical="center"/>
    </xf>
    <xf numFmtId="189" fontId="0" fillId="2" borderId="8" xfId="453" applyNumberFormat="1" applyFont="1" applyFill="1" applyBorder="1" applyAlignment="1">
      <alignment horizontal="right"/>
      <protection/>
    </xf>
    <xf numFmtId="203" fontId="0" fillId="0" borderId="0" xfId="0" applyNumberFormat="1" applyFill="1" applyAlignment="1">
      <alignment/>
    </xf>
    <xf numFmtId="0" fontId="1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90" fontId="1" fillId="0" borderId="0" xfId="0" applyNumberFormat="1" applyFont="1" applyFill="1" applyAlignment="1">
      <alignment vertical="center"/>
    </xf>
    <xf numFmtId="203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203" fontId="21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190" fontId="11" fillId="0" borderId="8" xfId="0" applyNumberFormat="1" applyFont="1" applyFill="1" applyBorder="1" applyAlignment="1">
      <alignment horizontal="center" vertical="center" wrapText="1"/>
    </xf>
    <xf numFmtId="190" fontId="11" fillId="0" borderId="8" xfId="452" applyNumberFormat="1" applyFont="1" applyFill="1" applyBorder="1" applyAlignment="1">
      <alignment horizontal="center" vertical="center" wrapText="1"/>
      <protection/>
    </xf>
    <xf numFmtId="203" fontId="11" fillId="0" borderId="8" xfId="0" applyNumberFormat="1" applyFont="1" applyFill="1" applyBorder="1" applyAlignment="1">
      <alignment horizontal="center" vertical="center" wrapText="1"/>
    </xf>
    <xf numFmtId="196" fontId="11" fillId="0" borderId="8" xfId="0" applyNumberFormat="1" applyFont="1" applyFill="1" applyBorder="1" applyAlignment="1">
      <alignment horizontal="center" vertical="center"/>
    </xf>
    <xf numFmtId="189" fontId="11" fillId="0" borderId="8" xfId="0" applyNumberFormat="1" applyFont="1" applyFill="1" applyBorder="1" applyAlignment="1">
      <alignment horizontal="right"/>
    </xf>
    <xf numFmtId="193" fontId="11" fillId="0" borderId="8" xfId="0" applyNumberFormat="1" applyFont="1" applyFill="1" applyBorder="1" applyAlignment="1">
      <alignment/>
    </xf>
    <xf numFmtId="203" fontId="11" fillId="0" borderId="8" xfId="0" applyNumberFormat="1" applyFont="1" applyFill="1" applyBorder="1" applyAlignment="1">
      <alignment horizontal="right"/>
    </xf>
    <xf numFmtId="193" fontId="11" fillId="0" borderId="8" xfId="0" applyNumberFormat="1" applyFont="1" applyFill="1" applyBorder="1" applyAlignment="1">
      <alignment horizontal="right"/>
    </xf>
    <xf numFmtId="203" fontId="0" fillId="0" borderId="8" xfId="0" applyNumberFormat="1" applyFont="1" applyFill="1" applyBorder="1" applyAlignment="1">
      <alignment horizontal="right"/>
    </xf>
    <xf numFmtId="196" fontId="0" fillId="0" borderId="8" xfId="0" applyNumberFormat="1" applyFont="1" applyFill="1" applyBorder="1" applyAlignment="1">
      <alignment horizontal="left" vertical="center"/>
    </xf>
    <xf numFmtId="193" fontId="0" fillId="0" borderId="8" xfId="0" applyNumberFormat="1" applyFont="1" applyFill="1" applyBorder="1" applyAlignment="1">
      <alignment/>
    </xf>
    <xf numFmtId="203" fontId="0" fillId="0" borderId="8" xfId="452" applyNumberFormat="1" applyFont="1" applyFill="1" applyBorder="1" applyAlignment="1">
      <alignment horizontal="right"/>
      <protection/>
    </xf>
    <xf numFmtId="189" fontId="0" fillId="0" borderId="8" xfId="0" applyNumberFormat="1" applyFont="1" applyFill="1" applyBorder="1" applyAlignment="1">
      <alignment horizontal="right"/>
    </xf>
    <xf numFmtId="189" fontId="0" fillId="0" borderId="8" xfId="452" applyNumberFormat="1" applyFont="1" applyFill="1" applyBorder="1" applyAlignment="1">
      <alignment horizontal="right"/>
      <protection/>
    </xf>
    <xf numFmtId="196" fontId="0" fillId="0" borderId="8" xfId="0" applyNumberFormat="1" applyFont="1" applyFill="1" applyBorder="1" applyAlignment="1">
      <alignment horizontal="left" vertical="center" indent="1"/>
    </xf>
    <xf numFmtId="189" fontId="0" fillId="0" borderId="8" xfId="0" applyNumberFormat="1" applyFont="1" applyFill="1" applyBorder="1" applyAlignment="1">
      <alignment/>
    </xf>
    <xf numFmtId="196" fontId="11" fillId="0" borderId="8" xfId="0" applyNumberFormat="1" applyFont="1" applyFill="1" applyBorder="1" applyAlignment="1">
      <alignment horizontal="left" vertical="center"/>
    </xf>
    <xf numFmtId="203" fontId="0" fillId="0" borderId="8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03" fontId="0" fillId="0" borderId="8" xfId="452" applyNumberFormat="1" applyFont="1" applyFill="1" applyBorder="1" applyAlignment="1">
      <alignment/>
      <protection/>
    </xf>
    <xf numFmtId="196" fontId="0" fillId="0" borderId="8" xfId="0" applyNumberFormat="1" applyFont="1" applyFill="1" applyBorder="1" applyAlignment="1">
      <alignment horizontal="left" vertical="center" indent="2"/>
    </xf>
    <xf numFmtId="203" fontId="0" fillId="0" borderId="8" xfId="0" applyNumberFormat="1" applyFont="1" applyFill="1" applyBorder="1" applyAlignment="1">
      <alignment/>
    </xf>
    <xf numFmtId="205" fontId="0" fillId="0" borderId="8" xfId="0" applyNumberFormat="1" applyFont="1" applyFill="1" applyBorder="1" applyAlignment="1">
      <alignment/>
    </xf>
    <xf numFmtId="196" fontId="0" fillId="0" borderId="8" xfId="0" applyNumberFormat="1" applyFill="1" applyBorder="1" applyAlignment="1">
      <alignment horizontal="left" vertical="center"/>
    </xf>
    <xf numFmtId="203" fontId="0" fillId="0" borderId="8" xfId="842" applyNumberFormat="1" applyFont="1" applyFill="1" applyBorder="1" applyAlignment="1">
      <alignment/>
    </xf>
    <xf numFmtId="203" fontId="0" fillId="0" borderId="8" xfId="830" applyNumberFormat="1" applyFont="1" applyFill="1" applyBorder="1" applyAlignment="1">
      <alignment/>
    </xf>
    <xf numFmtId="196" fontId="11" fillId="0" borderId="8" xfId="0" applyNumberFormat="1" applyFont="1" applyFill="1" applyBorder="1" applyAlignment="1">
      <alignment vertical="center"/>
    </xf>
    <xf numFmtId="203" fontId="0" fillId="0" borderId="8" xfId="842" applyNumberFormat="1" applyFont="1" applyFill="1" applyBorder="1" applyAlignment="1">
      <alignment horizontal="right"/>
    </xf>
    <xf numFmtId="203" fontId="0" fillId="0" borderId="8" xfId="830" applyNumberFormat="1" applyFont="1" applyFill="1" applyBorder="1" applyAlignment="1">
      <alignment horizontal="right"/>
    </xf>
    <xf numFmtId="189" fontId="11" fillId="0" borderId="8" xfId="0" applyNumberFormat="1" applyFont="1" applyFill="1" applyBorder="1" applyAlignment="1">
      <alignment horizontal="left"/>
    </xf>
    <xf numFmtId="189" fontId="0" fillId="0" borderId="8" xfId="0" applyNumberFormat="1" applyFont="1" applyFill="1" applyBorder="1" applyAlignment="1">
      <alignment horizontal="left"/>
    </xf>
    <xf numFmtId="205" fontId="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2" borderId="0" xfId="463" applyFont="1" applyFill="1" applyAlignment="1">
      <alignment horizontal="center" vertical="center"/>
      <protection/>
    </xf>
    <xf numFmtId="0" fontId="12" fillId="2" borderId="0" xfId="0" applyFont="1" applyFill="1" applyAlignment="1">
      <alignment horizontal="center" vertical="center"/>
    </xf>
    <xf numFmtId="0" fontId="11" fillId="2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8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452" applyFont="1" applyFill="1" applyAlignment="1">
      <alignment horizontal="center" vertical="center"/>
      <protection/>
    </xf>
    <xf numFmtId="0" fontId="11" fillId="0" borderId="38" xfId="452" applyNumberFormat="1" applyFont="1" applyFill="1" applyBorder="1" applyAlignment="1" applyProtection="1">
      <alignment horizontal="center" vertical="center" wrapText="1"/>
      <protection/>
    </xf>
    <xf numFmtId="0" fontId="11" fillId="0" borderId="55" xfId="452" applyNumberFormat="1" applyFont="1" applyFill="1" applyBorder="1" applyAlignment="1" applyProtection="1">
      <alignment horizontal="center" vertical="center" wrapText="1"/>
      <protection/>
    </xf>
    <xf numFmtId="189" fontId="11" fillId="0" borderId="38" xfId="452" applyNumberFormat="1" applyFont="1" applyFill="1" applyBorder="1" applyAlignment="1" applyProtection="1">
      <alignment horizontal="center" vertical="center" wrapText="1"/>
      <protection/>
    </xf>
    <xf numFmtId="189" fontId="11" fillId="0" borderId="55" xfId="452" applyNumberFormat="1" applyFont="1" applyFill="1" applyBorder="1" applyAlignment="1" applyProtection="1">
      <alignment horizontal="center" vertical="center" wrapText="1"/>
      <protection/>
    </xf>
    <xf numFmtId="0" fontId="11" fillId="0" borderId="8" xfId="452" applyNumberFormat="1" applyFont="1" applyFill="1" applyBorder="1" applyAlignment="1" applyProtection="1">
      <alignment horizontal="center" vertical="center" wrapText="1"/>
      <protection/>
    </xf>
    <xf numFmtId="0" fontId="11" fillId="0" borderId="51" xfId="452" applyNumberFormat="1" applyFont="1" applyFill="1" applyBorder="1" applyAlignment="1" applyProtection="1">
      <alignment horizontal="center" vertical="center" wrapText="1"/>
      <protection/>
    </xf>
    <xf numFmtId="0" fontId="11" fillId="0" borderId="52" xfId="452" applyNumberFormat="1" applyFont="1" applyFill="1" applyBorder="1" applyAlignment="1" applyProtection="1">
      <alignment horizontal="center" vertical="center" wrapText="1"/>
      <protection/>
    </xf>
    <xf numFmtId="189" fontId="11" fillId="0" borderId="8" xfId="452" applyNumberFormat="1" applyFont="1" applyFill="1" applyBorder="1" applyAlignment="1" applyProtection="1">
      <alignment horizontal="center" vertical="center" wrapText="1"/>
      <protection/>
    </xf>
    <xf numFmtId="189" fontId="11" fillId="0" borderId="56" xfId="452" applyNumberFormat="1" applyFont="1" applyFill="1" applyBorder="1" applyAlignment="1" applyProtection="1">
      <alignment horizontal="center" vertical="center" wrapText="1"/>
      <protection/>
    </xf>
    <xf numFmtId="189" fontId="11" fillId="0" borderId="45" xfId="452" applyNumberFormat="1" applyFont="1" applyFill="1" applyBorder="1" applyAlignment="1" applyProtection="1">
      <alignment horizontal="center" vertical="center" wrapText="1"/>
      <protection/>
    </xf>
    <xf numFmtId="192" fontId="12" fillId="0" borderId="0" xfId="842" applyNumberFormat="1" applyFont="1" applyFill="1" applyBorder="1" applyAlignment="1">
      <alignment horizontal="center" vertical="center"/>
    </xf>
    <xf numFmtId="0" fontId="12" fillId="0" borderId="0" xfId="478" applyFont="1" applyFill="1" applyAlignment="1">
      <alignment horizontal="center" vertical="center"/>
      <protection/>
    </xf>
    <xf numFmtId="0" fontId="0" fillId="0" borderId="36" xfId="478" applyNumberFormat="1" applyFont="1" applyFill="1" applyBorder="1" applyAlignment="1" applyProtection="1">
      <alignment horizontal="center" vertical="center" shrinkToFit="1"/>
      <protection/>
    </xf>
    <xf numFmtId="0" fontId="0" fillId="0" borderId="4" xfId="478" applyNumberFormat="1" applyFont="1" applyFill="1" applyBorder="1" applyAlignment="1" applyProtection="1">
      <alignment horizontal="center" vertical="center" shrinkToFit="1"/>
      <protection/>
    </xf>
    <xf numFmtId="0" fontId="0" fillId="0" borderId="54" xfId="478" applyNumberFormat="1" applyFont="1" applyFill="1" applyBorder="1" applyAlignment="1" applyProtection="1">
      <alignment horizontal="center" vertical="center" shrinkToFit="1"/>
      <protection/>
    </xf>
    <xf numFmtId="0" fontId="0" fillId="0" borderId="38" xfId="478" applyNumberFormat="1" applyFont="1" applyFill="1" applyBorder="1" applyAlignment="1" applyProtection="1">
      <alignment horizontal="center" vertical="center" shrinkToFit="1"/>
      <protection/>
    </xf>
    <xf numFmtId="0" fontId="0" fillId="0" borderId="55" xfId="478" applyNumberFormat="1" applyFont="1" applyFill="1" applyBorder="1" applyAlignment="1" applyProtection="1">
      <alignment horizontal="center" vertical="center" shrinkToFit="1"/>
      <protection/>
    </xf>
    <xf numFmtId="0" fontId="8" fillId="0" borderId="38" xfId="478" applyFont="1" applyFill="1" applyBorder="1" applyAlignment="1">
      <alignment horizontal="center" vertical="center" shrinkToFit="1"/>
      <protection/>
    </xf>
    <xf numFmtId="0" fontId="6" fillId="0" borderId="55" xfId="478" applyFont="1" applyFill="1" applyBorder="1" applyAlignment="1">
      <alignment horizontal="center" vertical="center" shrinkToFit="1"/>
      <protection/>
    </xf>
    <xf numFmtId="0" fontId="18" fillId="0" borderId="0" xfId="490" applyFont="1" applyAlignment="1">
      <alignment horizontal="center"/>
      <protection/>
    </xf>
    <xf numFmtId="0" fontId="12" fillId="2" borderId="0" xfId="478" applyFont="1" applyFill="1" applyAlignment="1">
      <alignment horizontal="center" vertical="center"/>
      <protection/>
    </xf>
    <xf numFmtId="0" fontId="0" fillId="2" borderId="36" xfId="478" applyNumberFormat="1" applyFont="1" applyFill="1" applyBorder="1" applyAlignment="1" applyProtection="1">
      <alignment horizontal="center" vertical="center" shrinkToFit="1"/>
      <protection/>
    </xf>
    <xf numFmtId="0" fontId="0" fillId="2" borderId="4" xfId="478" applyNumberFormat="1" applyFont="1" applyFill="1" applyBorder="1" applyAlignment="1" applyProtection="1">
      <alignment horizontal="center" vertical="center" shrinkToFit="1"/>
      <protection/>
    </xf>
    <xf numFmtId="0" fontId="0" fillId="2" borderId="54" xfId="478" applyNumberFormat="1" applyFont="1" applyFill="1" applyBorder="1" applyAlignment="1" applyProtection="1">
      <alignment horizontal="center" vertical="center" shrinkToFit="1"/>
      <protection/>
    </xf>
    <xf numFmtId="0" fontId="0" fillId="2" borderId="38" xfId="478" applyNumberFormat="1" applyFont="1" applyFill="1" applyBorder="1" applyAlignment="1" applyProtection="1">
      <alignment horizontal="center" vertical="center" shrinkToFit="1"/>
      <protection/>
    </xf>
    <xf numFmtId="0" fontId="0" fillId="2" borderId="55" xfId="478" applyNumberFormat="1" applyFont="1" applyFill="1" applyBorder="1" applyAlignment="1" applyProtection="1">
      <alignment horizontal="center" vertical="center" shrinkToFit="1"/>
      <protection/>
    </xf>
    <xf numFmtId="0" fontId="8" fillId="2" borderId="38" xfId="478" applyFont="1" applyFill="1" applyBorder="1" applyAlignment="1">
      <alignment horizontal="center" vertical="center" shrinkToFit="1"/>
      <protection/>
    </xf>
    <xf numFmtId="0" fontId="6" fillId="2" borderId="55" xfId="478" applyFont="1" applyFill="1" applyBorder="1" applyAlignment="1">
      <alignment horizontal="center" vertical="center" shrinkToFit="1"/>
      <protection/>
    </xf>
    <xf numFmtId="0" fontId="11" fillId="0" borderId="3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7" xfId="0" applyNumberFormat="1" applyFont="1" applyFill="1" applyBorder="1" applyAlignment="1" applyProtection="1">
      <alignment horizontal="center" vertical="top" wrapText="1"/>
      <protection/>
    </xf>
    <xf numFmtId="0" fontId="11" fillId="0" borderId="53" xfId="0" applyNumberFormat="1" applyFont="1" applyFill="1" applyBorder="1" applyAlignment="1" applyProtection="1">
      <alignment horizontal="center" vertical="top" wrapText="1"/>
      <protection/>
    </xf>
    <xf numFmtId="0" fontId="11" fillId="0" borderId="57" xfId="0" applyNumberFormat="1" applyFont="1" applyFill="1" applyBorder="1" applyAlignment="1" applyProtection="1">
      <alignment horizontal="center" vertical="top" wrapText="1"/>
      <protection/>
    </xf>
    <xf numFmtId="0" fontId="0" fillId="2" borderId="8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49" fontId="0" fillId="2" borderId="38" xfId="0" applyNumberFormat="1" applyFont="1" applyFill="1" applyBorder="1" applyAlignment="1">
      <alignment horizontal="center" vertical="center" wrapText="1"/>
    </xf>
    <xf numFmtId="49" fontId="0" fillId="2" borderId="55" xfId="0" applyNumberFormat="1" applyFont="1" applyFill="1" applyBorder="1" applyAlignment="1">
      <alignment horizontal="center" vertical="center" wrapText="1"/>
    </xf>
    <xf numFmtId="192" fontId="0" fillId="2" borderId="38" xfId="842" applyNumberFormat="1" applyFont="1" applyFill="1" applyBorder="1" applyAlignment="1">
      <alignment horizontal="center" vertical="center"/>
    </xf>
    <xf numFmtId="192" fontId="0" fillId="2" borderId="55" xfId="84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3" fillId="0" borderId="0" xfId="505" applyFont="1" applyFill="1" applyAlignment="1">
      <alignment horizontal="center" vertical="center" wrapText="1"/>
      <protection/>
    </xf>
  </cellXfs>
  <cellStyles count="880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宝坻区" xfId="237"/>
    <cellStyle name="差_报表" xfId="238"/>
    <cellStyle name="差_表二--电子版" xfId="239"/>
    <cellStyle name="差_不含人员经费系数" xfId="240"/>
    <cellStyle name="差_不含人员经费系数_财力性转移支付2010年预算参考数" xfId="241"/>
    <cellStyle name="差_财政供养人员" xfId="242"/>
    <cellStyle name="差_财政供养人员_财力性转移支付2010年预算参考数" xfId="243"/>
    <cellStyle name="差_测算结果" xfId="244"/>
    <cellStyle name="差_测算结果_财力性转移支付2010年预算参考数" xfId="245"/>
    <cellStyle name="差_测算结果汇总" xfId="246"/>
    <cellStyle name="差_测算结果汇总_财力性转移支付2010年预算参考数" xfId="247"/>
    <cellStyle name="差_成本差异系数" xfId="248"/>
    <cellStyle name="差_成本差异系数（含人口规模）" xfId="249"/>
    <cellStyle name="差_成本差异系数（含人口规模）_财力性转移支付2010年预算参考数" xfId="250"/>
    <cellStyle name="差_成本差异系数_财力性转移支付2010年预算参考数" xfId="251"/>
    <cellStyle name="差_城建部门" xfId="252"/>
    <cellStyle name="差_第五部分(才淼、饶永宏）" xfId="253"/>
    <cellStyle name="差_第一部分：综合全" xfId="254"/>
    <cellStyle name="差_分析缺口率" xfId="255"/>
    <cellStyle name="差_分析缺口率_财力性转移支付2010年预算参考数" xfId="256"/>
    <cellStyle name="差_分县成本差异系数" xfId="257"/>
    <cellStyle name="差_分县成本差异系数_不含人员经费系数" xfId="258"/>
    <cellStyle name="差_分县成本差异系数_不含人员经费系数_财力性转移支付2010年预算参考数" xfId="259"/>
    <cellStyle name="差_分县成本差异系数_财力性转移支付2010年预算参考数" xfId="260"/>
    <cellStyle name="差_分县成本差异系数_民生政策最低支出需求" xfId="261"/>
    <cellStyle name="差_分县成本差异系数_民生政策最低支出需求_财力性转移支付2010年预算参考数" xfId="262"/>
    <cellStyle name="差_附表" xfId="263"/>
    <cellStyle name="差_附表_财力性转移支付2010年预算参考数" xfId="264"/>
    <cellStyle name="差_行政(燃修费)" xfId="265"/>
    <cellStyle name="差_行政(燃修费)_不含人员经费系数" xfId="266"/>
    <cellStyle name="差_行政(燃修费)_不含人员经费系数_财力性转移支付2010年预算参考数" xfId="267"/>
    <cellStyle name="差_行政(燃修费)_财力性转移支付2010年预算参考数" xfId="268"/>
    <cellStyle name="差_行政(燃修费)_民生政策最低支出需求" xfId="269"/>
    <cellStyle name="差_行政(燃修费)_民生政策最低支出需求_财力性转移支付2010年预算参考数" xfId="270"/>
    <cellStyle name="差_行政(燃修费)_县市旗测算-新科目（含人口规模效应）" xfId="271"/>
    <cellStyle name="差_行政(燃修费)_县市旗测算-新科目（含人口规模效应）_财力性转移支付2010年预算参考数" xfId="272"/>
    <cellStyle name="差_行政（人员）" xfId="273"/>
    <cellStyle name="差_行政（人员）_不含人员经费系数" xfId="274"/>
    <cellStyle name="差_行政（人员）_不含人员经费系数_财力性转移支付2010年预算参考数" xfId="275"/>
    <cellStyle name="差_行政（人员）_财力性转移支付2010年预算参考数" xfId="276"/>
    <cellStyle name="差_行政（人员）_民生政策最低支出需求" xfId="277"/>
    <cellStyle name="差_行政（人员）_民生政策最低支出需求_财力性转移支付2010年预算参考数" xfId="278"/>
    <cellStyle name="差_行政（人员）_县市旗测算-新科目（含人口规模效应）" xfId="279"/>
    <cellStyle name="差_行政（人员）_县市旗测算-新科目（含人口规模效应）_财力性转移支付2010年预算参考数" xfId="280"/>
    <cellStyle name="差_行政公检法测算" xfId="281"/>
    <cellStyle name="差_行政公检法测算_不含人员经费系数" xfId="282"/>
    <cellStyle name="差_行政公检法测算_不含人员经费系数_财力性转移支付2010年预算参考数" xfId="283"/>
    <cellStyle name="差_行政公检法测算_财力性转移支付2010年预算参考数" xfId="284"/>
    <cellStyle name="差_行政公检法测算_民生政策最低支出需求" xfId="285"/>
    <cellStyle name="差_行政公检法测算_民生政策最低支出需求_财力性转移支付2010年预算参考数" xfId="286"/>
    <cellStyle name="差_行政公检法测算_县市旗测算-新科目（含人口规模效应）" xfId="287"/>
    <cellStyle name="差_行政公检法测算_县市旗测算-新科目（含人口规模效应）_财力性转移支付2010年预算参考数" xfId="288"/>
    <cellStyle name="差_河南 缺口县区测算(地方填报)" xfId="289"/>
    <cellStyle name="差_河南 缺口县区测算(地方填报)_财力性转移支付2010年预算参考数" xfId="290"/>
    <cellStyle name="差_河南 缺口县区测算(地方填报白)" xfId="291"/>
    <cellStyle name="差_河南 缺口县区测算(地方填报白)_财力性转移支付2010年预算参考数" xfId="292"/>
    <cellStyle name="差_核定人数对比" xfId="293"/>
    <cellStyle name="差_核定人数对比_财力性转移支付2010年预算参考数" xfId="294"/>
    <cellStyle name="差_核定人数下发表" xfId="295"/>
    <cellStyle name="差_核定人数下发表_财力性转移支付2010年预算参考数" xfId="296"/>
    <cellStyle name="差_汇总" xfId="297"/>
    <cellStyle name="差_汇总_财力性转移支付2010年预算参考数" xfId="298"/>
    <cellStyle name="差_汇总表" xfId="299"/>
    <cellStyle name="差_汇总表_财力性转移支付2010年预算参考数" xfId="300"/>
    <cellStyle name="差_汇总表4" xfId="301"/>
    <cellStyle name="差_汇总表4_财力性转移支付2010年预算参考数" xfId="302"/>
    <cellStyle name="差_汇总表提前告知区县" xfId="303"/>
    <cellStyle name="差_汇总-县级财政报表附表" xfId="304"/>
    <cellStyle name="差_检验表" xfId="305"/>
    <cellStyle name="差_检验表（调整后）" xfId="306"/>
    <cellStyle name="差_教育(按照总人口测算）—20080416" xfId="307"/>
    <cellStyle name="差_教育(按照总人口测算）—20080416_不含人员经费系数" xfId="308"/>
    <cellStyle name="差_教育(按照总人口测算）—20080416_不含人员经费系数_财力性转移支付2010年预算参考数" xfId="309"/>
    <cellStyle name="差_教育(按照总人口测算）—20080416_财力性转移支付2010年预算参考数" xfId="310"/>
    <cellStyle name="差_教育(按照总人口测算）—20080416_民生政策最低支出需求" xfId="311"/>
    <cellStyle name="差_教育(按照总人口测算）—20080416_民生政策最低支出需求_财力性转移支付2010年预算参考数" xfId="312"/>
    <cellStyle name="差_教育(按照总人口测算）—20080416_县市旗测算-新科目（含人口规模效应）" xfId="313"/>
    <cellStyle name="差_教育(按照总人口测算）—20080416_县市旗测算-新科目（含人口规模效应）_财力性转移支付2010年预算参考数" xfId="314"/>
    <cellStyle name="差_丽江汇总" xfId="315"/>
    <cellStyle name="差_民生政策最低支出需求" xfId="316"/>
    <cellStyle name="差_民生政策最低支出需求_财力性转移支付2010年预算参考数" xfId="317"/>
    <cellStyle name="差_农林水和城市维护标准支出20080505－县区合计" xfId="318"/>
    <cellStyle name="差_农林水和城市维护标准支出20080505－县区合计_不含人员经费系数" xfId="319"/>
    <cellStyle name="差_农林水和城市维护标准支出20080505－县区合计_不含人员经费系数_财力性转移支付2010年预算参考数" xfId="320"/>
    <cellStyle name="差_农林水和城市维护标准支出20080505－县区合计_财力性转移支付2010年预算参考数" xfId="321"/>
    <cellStyle name="差_农林水和城市维护标准支出20080505－县区合计_民生政策最低支出需求" xfId="322"/>
    <cellStyle name="差_农林水和城市维护标准支出20080505－县区合计_民生政策最低支出需求_财力性转移支付2010年预算参考数" xfId="323"/>
    <cellStyle name="差_农林水和城市维护标准支出20080505－县区合计_县市旗测算-新科目（含人口规模效应）" xfId="324"/>
    <cellStyle name="差_农林水和城市维护标准支出20080505－县区合计_县市旗测算-新科目（含人口规模效应）_财力性转移支付2010年预算参考数" xfId="325"/>
    <cellStyle name="差_平邑" xfId="326"/>
    <cellStyle name="差_平邑_财力性转移支付2010年预算参考数" xfId="327"/>
    <cellStyle name="差_其他部门(按照总人口测算）—20080416" xfId="328"/>
    <cellStyle name="差_其他部门(按照总人口测算）—20080416_不含人员经费系数" xfId="329"/>
    <cellStyle name="差_其他部门(按照总人口测算）—20080416_不含人员经费系数_财力性转移支付2010年预算参考数" xfId="330"/>
    <cellStyle name="差_其他部门(按照总人口测算）—20080416_财力性转移支付2010年预算参考数" xfId="331"/>
    <cellStyle name="差_其他部门(按照总人口测算）—20080416_民生政策最低支出需求" xfId="332"/>
    <cellStyle name="差_其他部门(按照总人口测算）—20080416_民生政策最低支出需求_财力性转移支付2010年预算参考数" xfId="333"/>
    <cellStyle name="差_其他部门(按照总人口测算）—20080416_县市旗测算-新科目（含人口规模效应）" xfId="334"/>
    <cellStyle name="差_其他部门(按照总人口测算）—20080416_县市旗测算-新科目（含人口规模效应）_财力性转移支付2010年预算参考数" xfId="335"/>
    <cellStyle name="差_青海 缺口县区测算(地方填报)" xfId="336"/>
    <cellStyle name="差_青海 缺口县区测算(地方填报)_财力性转移支付2010年预算参考数" xfId="337"/>
    <cellStyle name="差_缺口县区测算" xfId="338"/>
    <cellStyle name="差_缺口县区测算（11.13）" xfId="339"/>
    <cellStyle name="差_缺口县区测算（11.13）_财力性转移支付2010年预算参考数" xfId="340"/>
    <cellStyle name="差_缺口县区测算(按2007支出增长25%测算)" xfId="341"/>
    <cellStyle name="差_缺口县区测算(按2007支出增长25%测算)_财力性转移支付2010年预算参考数" xfId="342"/>
    <cellStyle name="差_缺口县区测算(按核定人数)" xfId="343"/>
    <cellStyle name="差_缺口县区测算(按核定人数)_财力性转移支付2010年预算参考数" xfId="344"/>
    <cellStyle name="差_缺口县区测算(财政部标准)" xfId="345"/>
    <cellStyle name="差_缺口县区测算(财政部标准)_财力性转移支付2010年预算参考数" xfId="346"/>
    <cellStyle name="差_缺口县区测算_财力性转移支付2010年预算参考数" xfId="347"/>
    <cellStyle name="差_人员工资和公用经费" xfId="348"/>
    <cellStyle name="差_人员工资和公用经费_财力性转移支付2010年预算参考数" xfId="349"/>
    <cellStyle name="差_人员工资和公用经费2" xfId="350"/>
    <cellStyle name="差_人员工资和公用经费2_财力性转移支付2010年预算参考数" xfId="351"/>
    <cellStyle name="差_人员工资和公用经费3" xfId="352"/>
    <cellStyle name="差_人员工资和公用经费3_财力性转移支付2010年预算参考数" xfId="353"/>
    <cellStyle name="差_山东省民生支出标准" xfId="354"/>
    <cellStyle name="差_山东省民生支出标准_财力性转移支付2010年预算参考数" xfId="355"/>
    <cellStyle name="差_社保处下达区县2015年指标（第二批）" xfId="356"/>
    <cellStyle name="差_市辖区测算20080510" xfId="357"/>
    <cellStyle name="差_市辖区测算20080510_不含人员经费系数" xfId="358"/>
    <cellStyle name="差_市辖区测算20080510_不含人员经费系数_财力性转移支付2010年预算参考数" xfId="359"/>
    <cellStyle name="差_市辖区测算20080510_财力性转移支付2010年预算参考数" xfId="360"/>
    <cellStyle name="差_市辖区测算20080510_民生政策最低支出需求" xfId="361"/>
    <cellStyle name="差_市辖区测算20080510_民生政策最低支出需求_财力性转移支付2010年预算参考数" xfId="362"/>
    <cellStyle name="差_市辖区测算20080510_县市旗测算-新科目（含人口规模效应）" xfId="363"/>
    <cellStyle name="差_市辖区测算20080510_县市旗测算-新科目（含人口规模效应）_财力性转移支付2010年预算参考数" xfId="364"/>
    <cellStyle name="差_市辖区测算-新科目（20080626）" xfId="365"/>
    <cellStyle name="差_市辖区测算-新科目（20080626）_不含人员经费系数" xfId="366"/>
    <cellStyle name="差_市辖区测算-新科目（20080626）_不含人员经费系数_财力性转移支付2010年预算参考数" xfId="367"/>
    <cellStyle name="差_市辖区测算-新科目（20080626）_财力性转移支付2010年预算参考数" xfId="368"/>
    <cellStyle name="差_市辖区测算-新科目（20080626）_民生政策最低支出需求" xfId="369"/>
    <cellStyle name="差_市辖区测算-新科目（20080626）_民生政策最低支出需求_财力性转移支付2010年预算参考数" xfId="370"/>
    <cellStyle name="差_市辖区测算-新科目（20080626）_县市旗测算-新科目（含人口规模效应）" xfId="371"/>
    <cellStyle name="差_市辖区测算-新科目（20080626）_县市旗测算-新科目（含人口规模效应）_财力性转移支付2010年预算参考数" xfId="372"/>
    <cellStyle name="差_数据--基础数据--预算组--2015年人代会预算部分--2015.01.20--人代会前第6稿--按姚局意见改--调市级项级明细" xfId="373"/>
    <cellStyle name="差_数据--基础数据--预算组--2015年人代会预算部分--2015.01.20--人代会前第6稿--按姚局意见改--调市级项级明细_政府预算公开模板" xfId="374"/>
    <cellStyle name="差_同德" xfId="375"/>
    <cellStyle name="差_同德_财力性转移支付2010年预算参考数" xfId="376"/>
    <cellStyle name="差_危改资金测算" xfId="377"/>
    <cellStyle name="差_危改资金测算_财力性转移支付2010年预算参考数" xfId="378"/>
    <cellStyle name="差_卫生(按照总人口测算）—20080416" xfId="379"/>
    <cellStyle name="差_卫生(按照总人口测算）—20080416_不含人员经费系数" xfId="380"/>
    <cellStyle name="差_卫生(按照总人口测算）—20080416_不含人员经费系数_财力性转移支付2010年预算参考数" xfId="381"/>
    <cellStyle name="差_卫生(按照总人口测算）—20080416_财力性转移支付2010年预算参考数" xfId="382"/>
    <cellStyle name="差_卫生(按照总人口测算）—20080416_民生政策最低支出需求" xfId="383"/>
    <cellStyle name="差_卫生(按照总人口测算）—20080416_民生政策最低支出需求_财力性转移支付2010年预算参考数" xfId="384"/>
    <cellStyle name="差_卫生(按照总人口测算）—20080416_县市旗测算-新科目（含人口规模效应）" xfId="385"/>
    <cellStyle name="差_卫生(按照总人口测算）—20080416_县市旗测算-新科目（含人口规模效应）_财力性转移支付2010年预算参考数" xfId="386"/>
    <cellStyle name="差_卫生部门" xfId="387"/>
    <cellStyle name="差_卫生部门_财力性转移支付2010年预算参考数" xfId="388"/>
    <cellStyle name="差_文体广播部门" xfId="389"/>
    <cellStyle name="差_文体广播事业(按照总人口测算）—20080416" xfId="390"/>
    <cellStyle name="差_文体广播事业(按照总人口测算）—20080416_不含人员经费系数" xfId="391"/>
    <cellStyle name="差_文体广播事业(按照总人口测算）—20080416_不含人员经费系数_财力性转移支付2010年预算参考数" xfId="392"/>
    <cellStyle name="差_文体广播事业(按照总人口测算）—20080416_财力性转移支付2010年预算参考数" xfId="393"/>
    <cellStyle name="差_文体广播事业(按照总人口测算）—20080416_民生政策最低支出需求" xfId="394"/>
    <cellStyle name="差_文体广播事业(按照总人口测算）—20080416_民生政策最低支出需求_财力性转移支付2010年预算参考数" xfId="395"/>
    <cellStyle name="差_文体广播事业(按照总人口测算）—20080416_县市旗测算-新科目（含人口规模效应）" xfId="396"/>
    <cellStyle name="差_文体广播事业(按照总人口测算）—20080416_县市旗测算-新科目（含人口规模效应）_财力性转移支付2010年预算参考数" xfId="397"/>
    <cellStyle name="差_县区合并测算20080421" xfId="398"/>
    <cellStyle name="差_县区合并测算20080421_不含人员经费系数" xfId="399"/>
    <cellStyle name="差_县区合并测算20080421_不含人员经费系数_财力性转移支付2010年预算参考数" xfId="400"/>
    <cellStyle name="差_县区合并测算20080421_财力性转移支付2010年预算参考数" xfId="401"/>
    <cellStyle name="差_县区合并测算20080421_民生政策最低支出需求" xfId="402"/>
    <cellStyle name="差_县区合并测算20080421_民生政策最低支出需求_财力性转移支付2010年预算参考数" xfId="403"/>
    <cellStyle name="差_县区合并测算20080421_县市旗测算-新科目（含人口规模效应）" xfId="404"/>
    <cellStyle name="差_县区合并测算20080421_县市旗测算-新科目（含人口规模效应）_财力性转移支付2010年预算参考数" xfId="405"/>
    <cellStyle name="差_县区合并测算20080423(按照各省比重）" xfId="406"/>
    <cellStyle name="差_县区合并测算20080423(按照各省比重）_不含人员经费系数" xfId="407"/>
    <cellStyle name="差_县区合并测算20080423(按照各省比重）_不含人员经费系数_财力性转移支付2010年预算参考数" xfId="408"/>
    <cellStyle name="差_县区合并测算20080423(按照各省比重）_财力性转移支付2010年预算参考数" xfId="409"/>
    <cellStyle name="差_县区合并测算20080423(按照各省比重）_民生政策最低支出需求" xfId="410"/>
    <cellStyle name="差_县区合并测算20080423(按照各省比重）_民生政策最低支出需求_财力性转移支付2010年预算参考数" xfId="411"/>
    <cellStyle name="差_县区合并测算20080423(按照各省比重）_县市旗测算-新科目（含人口规模效应）" xfId="412"/>
    <cellStyle name="差_县区合并测算20080423(按照各省比重）_县市旗测算-新科目（含人口规模效应）_财力性转移支付2010年预算参考数" xfId="413"/>
    <cellStyle name="差_县市旗测算20080508" xfId="414"/>
    <cellStyle name="差_县市旗测算20080508_不含人员经费系数" xfId="415"/>
    <cellStyle name="差_县市旗测算20080508_不含人员经费系数_财力性转移支付2010年预算参考数" xfId="416"/>
    <cellStyle name="差_县市旗测算20080508_财力性转移支付2010年预算参考数" xfId="417"/>
    <cellStyle name="差_县市旗测算20080508_民生政策最低支出需求" xfId="418"/>
    <cellStyle name="差_县市旗测算20080508_民生政策最低支出需求_财力性转移支付2010年预算参考数" xfId="419"/>
    <cellStyle name="差_县市旗测算20080508_县市旗测算-新科目（含人口规模效应）" xfId="420"/>
    <cellStyle name="差_县市旗测算20080508_县市旗测算-新科目（含人口规模效应）_财力性转移支付2010年预算参考数" xfId="421"/>
    <cellStyle name="差_县市旗测算-新科目（20080626）" xfId="422"/>
    <cellStyle name="差_县市旗测算-新科目（20080626）_不含人员经费系数" xfId="423"/>
    <cellStyle name="差_县市旗测算-新科目（20080626）_不含人员经费系数_财力性转移支付2010年预算参考数" xfId="424"/>
    <cellStyle name="差_县市旗测算-新科目（20080626）_财力性转移支付2010年预算参考数" xfId="425"/>
    <cellStyle name="差_县市旗测算-新科目（20080626）_民生政策最低支出需求" xfId="426"/>
    <cellStyle name="差_县市旗测算-新科目（20080626）_民生政策最低支出需求_财力性转移支付2010年预算参考数" xfId="427"/>
    <cellStyle name="差_县市旗测算-新科目（20080626）_县市旗测算-新科目（含人口规模效应）" xfId="428"/>
    <cellStyle name="差_县市旗测算-新科目（20080626）_县市旗测算-新科目（含人口规模效应）_财力性转移支付2010年预算参考数" xfId="429"/>
    <cellStyle name="差_县市旗测算-新科目（20080627）" xfId="430"/>
    <cellStyle name="差_县市旗测算-新科目（20080627）_不含人员经费系数" xfId="431"/>
    <cellStyle name="差_县市旗测算-新科目（20080627）_不含人员经费系数_财力性转移支付2010年预算参考数" xfId="432"/>
    <cellStyle name="差_县市旗测算-新科目（20080627）_财力性转移支付2010年预算参考数" xfId="433"/>
    <cellStyle name="差_县市旗测算-新科目（20080627）_民生政策最低支出需求" xfId="434"/>
    <cellStyle name="差_县市旗测算-新科目（20080627）_民生政策最低支出需求_财力性转移支付2010年预算参考数" xfId="435"/>
    <cellStyle name="差_县市旗测算-新科目（20080627）_县市旗测算-新科目（含人口规模效应）" xfId="436"/>
    <cellStyle name="差_县市旗测算-新科目（20080627）_县市旗测算-新科目（含人口规模效应）_财力性转移支付2010年预算参考数" xfId="437"/>
    <cellStyle name="差_一般预算支出口径剔除表" xfId="438"/>
    <cellStyle name="差_一般预算支出口径剔除表_财力性转移支付2010年预算参考数" xfId="439"/>
    <cellStyle name="差_云南 缺口县区测算(地方填报)" xfId="440"/>
    <cellStyle name="差_云南 缺口县区测算(地方填报)_财力性转移支付2010年预算参考数" xfId="441"/>
    <cellStyle name="差_云南省2008年转移支付测算——州市本级考核部分及政策性测算" xfId="442"/>
    <cellStyle name="差_云南省2008年转移支付测算——州市本级考核部分及政策性测算_财力性转移支付2010年预算参考数" xfId="443"/>
    <cellStyle name="差_重点民生支出需求测算表社保（农村低保）081112" xfId="444"/>
    <cellStyle name="差_自行调整差异系数顺序" xfId="445"/>
    <cellStyle name="差_自行调整差异系数顺序_财力性转移支付2010年预算参考数" xfId="446"/>
    <cellStyle name="差_总人口" xfId="447"/>
    <cellStyle name="差_总人口_财力性转移支付2010年预算参考数" xfId="448"/>
    <cellStyle name="常规 10" xfId="449"/>
    <cellStyle name="常规 10 2 4 2" xfId="450"/>
    <cellStyle name="常规 11" xfId="451"/>
    <cellStyle name="常规 11 2" xfId="452"/>
    <cellStyle name="常规 11 2 4" xfId="453"/>
    <cellStyle name="常规 11_财力性转移支付2009年预算参考数" xfId="454"/>
    <cellStyle name="常规 12" xfId="455"/>
    <cellStyle name="常规 13" xfId="456"/>
    <cellStyle name="常规 14" xfId="457"/>
    <cellStyle name="常规 15" xfId="458"/>
    <cellStyle name="常规 16" xfId="459"/>
    <cellStyle name="常规 17" xfId="460"/>
    <cellStyle name="常规 18" xfId="461"/>
    <cellStyle name="常规 19" xfId="462"/>
    <cellStyle name="常规 2" xfId="463"/>
    <cellStyle name="常规 2 2" xfId="464"/>
    <cellStyle name="常规 2 3" xfId="465"/>
    <cellStyle name="常规 2 4" xfId="466"/>
    <cellStyle name="常规 2 5" xfId="467"/>
    <cellStyle name="常规 2_004-2010年增消两税返还情况表" xfId="468"/>
    <cellStyle name="常规 20" xfId="469"/>
    <cellStyle name="常规 21" xfId="470"/>
    <cellStyle name="常规 22" xfId="471"/>
    <cellStyle name="常规 23" xfId="472"/>
    <cellStyle name="常规 23 2" xfId="473"/>
    <cellStyle name="常规 24" xfId="474"/>
    <cellStyle name="常规 25" xfId="475"/>
    <cellStyle name="常规 26" xfId="476"/>
    <cellStyle name="常规 27" xfId="477"/>
    <cellStyle name="常规 3" xfId="478"/>
    <cellStyle name="常规 3 2" xfId="479"/>
    <cellStyle name="常规 3 2 2" xfId="480"/>
    <cellStyle name="常规 3 2 3" xfId="481"/>
    <cellStyle name="常规 3 3" xfId="482"/>
    <cellStyle name="常规 3 4" xfId="483"/>
    <cellStyle name="常规 34 8" xfId="484"/>
    <cellStyle name="常规 4" xfId="485"/>
    <cellStyle name="常规 4 2" xfId="486"/>
    <cellStyle name="常规 4 3" xfId="487"/>
    <cellStyle name="常规 4_2008年横排表0721" xfId="488"/>
    <cellStyle name="常规 40" xfId="489"/>
    <cellStyle name="常规 5" xfId="490"/>
    <cellStyle name="常规 5 2" xfId="491"/>
    <cellStyle name="常规 5 2 2" xfId="492"/>
    <cellStyle name="常规 5 3" xfId="493"/>
    <cellStyle name="常规 5 4" xfId="494"/>
    <cellStyle name="常规 5 5" xfId="495"/>
    <cellStyle name="常规 51" xfId="496"/>
    <cellStyle name="常规 54" xfId="497"/>
    <cellStyle name="常规 56" xfId="498"/>
    <cellStyle name="常规 6" xfId="499"/>
    <cellStyle name="常规 7" xfId="500"/>
    <cellStyle name="常规 7 2" xfId="501"/>
    <cellStyle name="常规 8" xfId="502"/>
    <cellStyle name="常规 81" xfId="503"/>
    <cellStyle name="常规 9" xfId="504"/>
    <cellStyle name="常规_（20091202）人代会附表-表样" xfId="505"/>
    <cellStyle name="常规_046-2010年土地出让金、四项收费、新增地全年预计----------------" xfId="506"/>
    <cellStyle name="常规_2016人代会附表（2015-9-11）（姚局）-财经委 2" xfId="507"/>
    <cellStyle name="超级链接" xfId="508"/>
    <cellStyle name="Hyperlink" xfId="509"/>
    <cellStyle name="分级显示行_1_13区汇总" xfId="510"/>
    <cellStyle name="归盒啦_95" xfId="511"/>
    <cellStyle name="好" xfId="512"/>
    <cellStyle name="好 2" xfId="513"/>
    <cellStyle name="好_00省级(打印)" xfId="514"/>
    <cellStyle name="好_03昭通" xfId="515"/>
    <cellStyle name="好_0502通海县" xfId="516"/>
    <cellStyle name="好_05潍坊" xfId="517"/>
    <cellStyle name="好_0605石屏县" xfId="518"/>
    <cellStyle name="好_0605石屏县_财力性转移支付2010年预算参考数" xfId="519"/>
    <cellStyle name="好_07临沂" xfId="520"/>
    <cellStyle name="好_09黑龙江" xfId="521"/>
    <cellStyle name="好_09黑龙江_财力性转移支付2010年预算参考数" xfId="522"/>
    <cellStyle name="好_1" xfId="523"/>
    <cellStyle name="好_1_财力性转移支付2010年预算参考数" xfId="524"/>
    <cellStyle name="好_1110洱源县" xfId="525"/>
    <cellStyle name="好_1110洱源县_财力性转移支付2010年预算参考数" xfId="526"/>
    <cellStyle name="好_11大理" xfId="527"/>
    <cellStyle name="好_11大理_财力性转移支付2010年预算参考数" xfId="528"/>
    <cellStyle name="好_12滨州" xfId="529"/>
    <cellStyle name="好_12滨州_财力性转移支付2010年预算参考数" xfId="530"/>
    <cellStyle name="好_14安徽" xfId="531"/>
    <cellStyle name="好_14安徽_财力性转移支付2010年预算参考数" xfId="532"/>
    <cellStyle name="好_2" xfId="533"/>
    <cellStyle name="好_2_财力性转移支付2010年预算参考数" xfId="534"/>
    <cellStyle name="好_2006年22湖南" xfId="535"/>
    <cellStyle name="好_2006年22湖南_财力性转移支付2010年预算参考数" xfId="536"/>
    <cellStyle name="好_2006年27重庆" xfId="537"/>
    <cellStyle name="好_2006年27重庆_财力性转移支付2010年预算参考数" xfId="538"/>
    <cellStyle name="好_2006年28四川" xfId="539"/>
    <cellStyle name="好_2006年28四川_财力性转移支付2010年预算参考数" xfId="540"/>
    <cellStyle name="好_2006年30云南" xfId="541"/>
    <cellStyle name="好_2006年33甘肃" xfId="542"/>
    <cellStyle name="好_2006年34青海" xfId="543"/>
    <cellStyle name="好_2006年34青海_财力性转移支付2010年预算参考数" xfId="544"/>
    <cellStyle name="好_2006年全省财力计算表（中央、决算）" xfId="545"/>
    <cellStyle name="好_2006年水利统计指标统计表" xfId="546"/>
    <cellStyle name="好_2006年水利统计指标统计表_财力性转移支付2010年预算参考数" xfId="547"/>
    <cellStyle name="好_2007年收支情况及2008年收支预计表(汇总表)" xfId="548"/>
    <cellStyle name="好_2007年收支情况及2008年收支预计表(汇总表)_财力性转移支付2010年预算参考数" xfId="549"/>
    <cellStyle name="好_2007年一般预算支出剔除" xfId="550"/>
    <cellStyle name="好_2007年一般预算支出剔除_财力性转移支付2010年预算参考数" xfId="551"/>
    <cellStyle name="好_2007一般预算支出口径剔除表" xfId="552"/>
    <cellStyle name="好_2007一般预算支出口径剔除表_财力性转移支付2010年预算参考数" xfId="553"/>
    <cellStyle name="好_2008计算资料（8月5）" xfId="554"/>
    <cellStyle name="好_2008年全省汇总收支计算表" xfId="555"/>
    <cellStyle name="好_2008年全省汇总收支计算表_财力性转移支付2010年预算参考数" xfId="556"/>
    <cellStyle name="好_2008年一般预算支出预计" xfId="557"/>
    <cellStyle name="好_2008年预计支出与2007年对比" xfId="558"/>
    <cellStyle name="好_2008年支出核定" xfId="559"/>
    <cellStyle name="好_2008年支出调整" xfId="560"/>
    <cellStyle name="好_2008年支出调整_财力性转移支付2010年预算参考数" xfId="561"/>
    <cellStyle name="好_2015年社会保险基金预算草案表样（报人大）" xfId="562"/>
    <cellStyle name="好_2016年科目0114" xfId="563"/>
    <cellStyle name="好_2016人代会附表（2015-9-11）（姚局）-财经委" xfId="564"/>
    <cellStyle name="好_20河南" xfId="565"/>
    <cellStyle name="好_20河南_财力性转移支付2010年预算参考数" xfId="566"/>
    <cellStyle name="好_22湖南" xfId="567"/>
    <cellStyle name="好_22湖南_财力性转移支付2010年预算参考数" xfId="568"/>
    <cellStyle name="好_27重庆" xfId="569"/>
    <cellStyle name="好_27重庆_财力性转移支付2010年预算参考数" xfId="570"/>
    <cellStyle name="好_28四川" xfId="571"/>
    <cellStyle name="好_28四川_财力性转移支付2010年预算参考数" xfId="572"/>
    <cellStyle name="好_30云南" xfId="573"/>
    <cellStyle name="好_30云南_1" xfId="574"/>
    <cellStyle name="好_30云南_1_财力性转移支付2010年预算参考数" xfId="575"/>
    <cellStyle name="好_33甘肃" xfId="576"/>
    <cellStyle name="好_34青海" xfId="577"/>
    <cellStyle name="好_34青海_1" xfId="578"/>
    <cellStyle name="好_34青海_1_财力性转移支付2010年预算参考数" xfId="579"/>
    <cellStyle name="好_34青海_财力性转移支付2010年预算参考数" xfId="580"/>
    <cellStyle name="好_530623_2006年县级财政报表附表" xfId="581"/>
    <cellStyle name="好_530629_2006年县级财政报表附表" xfId="582"/>
    <cellStyle name="好_5334_2006年迪庆县级财政报表附表" xfId="583"/>
    <cellStyle name="好_Book1" xfId="584"/>
    <cellStyle name="好_Book1_财力性转移支付2010年预算参考数" xfId="585"/>
    <cellStyle name="好_Book2" xfId="586"/>
    <cellStyle name="好_Book2_财力性转移支付2010年预算参考数" xfId="587"/>
    <cellStyle name="好_gdp" xfId="588"/>
    <cellStyle name="好_M01-2(州市补助收入)" xfId="589"/>
    <cellStyle name="好_安徽 缺口县区测算(地方填报)1" xfId="590"/>
    <cellStyle name="好_安徽 缺口县区测算(地方填报)1_财力性转移支付2010年预算参考数" xfId="591"/>
    <cellStyle name="好_宝坻区" xfId="592"/>
    <cellStyle name="好_报表" xfId="593"/>
    <cellStyle name="好_表二--电子版" xfId="594"/>
    <cellStyle name="好_不含人员经费系数" xfId="595"/>
    <cellStyle name="好_不含人员经费系数_财力性转移支付2010年预算参考数" xfId="596"/>
    <cellStyle name="好_财政供养人员" xfId="597"/>
    <cellStyle name="好_财政供养人员_财力性转移支付2010年预算参考数" xfId="598"/>
    <cellStyle name="好_测算结果" xfId="599"/>
    <cellStyle name="好_测算结果_财力性转移支付2010年预算参考数" xfId="600"/>
    <cellStyle name="好_测算结果汇总" xfId="601"/>
    <cellStyle name="好_测算结果汇总_财力性转移支付2010年预算参考数" xfId="602"/>
    <cellStyle name="好_成本差异系数" xfId="603"/>
    <cellStyle name="好_成本差异系数（含人口规模）" xfId="604"/>
    <cellStyle name="好_成本差异系数（含人口规模）_财力性转移支付2010年预算参考数" xfId="605"/>
    <cellStyle name="好_成本差异系数_财力性转移支付2010年预算参考数" xfId="606"/>
    <cellStyle name="好_城建部门" xfId="607"/>
    <cellStyle name="好_第五部分(才淼、饶永宏）" xfId="608"/>
    <cellStyle name="好_第一部分：综合全" xfId="609"/>
    <cellStyle name="好_分析缺口率" xfId="610"/>
    <cellStyle name="好_分析缺口率_财力性转移支付2010年预算参考数" xfId="611"/>
    <cellStyle name="好_分县成本差异系数" xfId="612"/>
    <cellStyle name="好_分县成本差异系数_不含人员经费系数" xfId="613"/>
    <cellStyle name="好_分县成本差异系数_不含人员经费系数_财力性转移支付2010年预算参考数" xfId="614"/>
    <cellStyle name="好_分县成本差异系数_财力性转移支付2010年预算参考数" xfId="615"/>
    <cellStyle name="好_分县成本差异系数_民生政策最低支出需求" xfId="616"/>
    <cellStyle name="好_分县成本差异系数_民生政策最低支出需求_财力性转移支付2010年预算参考数" xfId="617"/>
    <cellStyle name="好_附表" xfId="618"/>
    <cellStyle name="好_附表_财力性转移支付2010年预算参考数" xfId="619"/>
    <cellStyle name="好_行政(燃修费)" xfId="620"/>
    <cellStyle name="好_行政(燃修费)_不含人员经费系数" xfId="621"/>
    <cellStyle name="好_行政(燃修费)_不含人员经费系数_财力性转移支付2010年预算参考数" xfId="622"/>
    <cellStyle name="好_行政(燃修费)_财力性转移支付2010年预算参考数" xfId="623"/>
    <cellStyle name="好_行政(燃修费)_民生政策最低支出需求" xfId="624"/>
    <cellStyle name="好_行政(燃修费)_民生政策最低支出需求_财力性转移支付2010年预算参考数" xfId="625"/>
    <cellStyle name="好_行政(燃修费)_县市旗测算-新科目（含人口规模效应）" xfId="626"/>
    <cellStyle name="好_行政(燃修费)_县市旗测算-新科目（含人口规模效应）_财力性转移支付2010年预算参考数" xfId="627"/>
    <cellStyle name="好_行政（人员）" xfId="628"/>
    <cellStyle name="好_行政（人员）_不含人员经费系数" xfId="629"/>
    <cellStyle name="好_行政（人员）_不含人员经费系数_财力性转移支付2010年预算参考数" xfId="630"/>
    <cellStyle name="好_行政（人员）_财力性转移支付2010年预算参考数" xfId="631"/>
    <cellStyle name="好_行政（人员）_民生政策最低支出需求" xfId="632"/>
    <cellStyle name="好_行政（人员）_民生政策最低支出需求_财力性转移支付2010年预算参考数" xfId="633"/>
    <cellStyle name="好_行政（人员）_县市旗测算-新科目（含人口规模效应）" xfId="634"/>
    <cellStyle name="好_行政（人员）_县市旗测算-新科目（含人口规模效应）_财力性转移支付2010年预算参考数" xfId="635"/>
    <cellStyle name="好_行政公检法测算" xfId="636"/>
    <cellStyle name="好_行政公检法测算_不含人员经费系数" xfId="637"/>
    <cellStyle name="好_行政公检法测算_不含人员经费系数_财力性转移支付2010年预算参考数" xfId="638"/>
    <cellStyle name="好_行政公检法测算_财力性转移支付2010年预算参考数" xfId="639"/>
    <cellStyle name="好_行政公检法测算_民生政策最低支出需求" xfId="640"/>
    <cellStyle name="好_行政公检法测算_民生政策最低支出需求_财力性转移支付2010年预算参考数" xfId="641"/>
    <cellStyle name="好_行政公检法测算_县市旗测算-新科目（含人口规模效应）" xfId="642"/>
    <cellStyle name="好_行政公检法测算_县市旗测算-新科目（含人口规模效应）_财力性转移支付2010年预算参考数" xfId="643"/>
    <cellStyle name="好_河南 缺口县区测算(地方填报)" xfId="644"/>
    <cellStyle name="好_河南 缺口县区测算(地方填报)_财力性转移支付2010年预算参考数" xfId="645"/>
    <cellStyle name="好_河南 缺口县区测算(地方填报白)" xfId="646"/>
    <cellStyle name="好_河南 缺口县区测算(地方填报白)_财力性转移支付2010年预算参考数" xfId="647"/>
    <cellStyle name="好_核定人数对比" xfId="648"/>
    <cellStyle name="好_核定人数对比_财力性转移支付2010年预算参考数" xfId="649"/>
    <cellStyle name="好_核定人数下发表" xfId="650"/>
    <cellStyle name="好_核定人数下发表_财力性转移支付2010年预算参考数" xfId="651"/>
    <cellStyle name="好_汇总" xfId="652"/>
    <cellStyle name="好_汇总_财力性转移支付2010年预算参考数" xfId="653"/>
    <cellStyle name="好_汇总表" xfId="654"/>
    <cellStyle name="好_汇总表_财力性转移支付2010年预算参考数" xfId="655"/>
    <cellStyle name="好_汇总表4" xfId="656"/>
    <cellStyle name="好_汇总表4_财力性转移支付2010年预算参考数" xfId="657"/>
    <cellStyle name="好_汇总表提前告知区县" xfId="658"/>
    <cellStyle name="好_汇总-县级财政报表附表" xfId="659"/>
    <cellStyle name="好_检验表" xfId="660"/>
    <cellStyle name="好_检验表（调整后）" xfId="661"/>
    <cellStyle name="好_教育(按照总人口测算）—20080416" xfId="662"/>
    <cellStyle name="好_教育(按照总人口测算）—20080416_不含人员经费系数" xfId="663"/>
    <cellStyle name="好_教育(按照总人口测算）—20080416_不含人员经费系数_财力性转移支付2010年预算参考数" xfId="664"/>
    <cellStyle name="好_教育(按照总人口测算）—20080416_财力性转移支付2010年预算参考数" xfId="665"/>
    <cellStyle name="好_教育(按照总人口测算）—20080416_民生政策最低支出需求" xfId="666"/>
    <cellStyle name="好_教育(按照总人口测算）—20080416_民生政策最低支出需求_财力性转移支付2010年预算参考数" xfId="667"/>
    <cellStyle name="好_教育(按照总人口测算）—20080416_县市旗测算-新科目（含人口规模效应）" xfId="668"/>
    <cellStyle name="好_教育(按照总人口测算）—20080416_县市旗测算-新科目（含人口规模效应）_财力性转移支付2010年预算参考数" xfId="669"/>
    <cellStyle name="好_丽江汇总" xfId="670"/>
    <cellStyle name="好_民生政策最低支出需求" xfId="671"/>
    <cellStyle name="好_民生政策最低支出需求_财力性转移支付2010年预算参考数" xfId="672"/>
    <cellStyle name="好_农林水和城市维护标准支出20080505－县区合计" xfId="673"/>
    <cellStyle name="好_农林水和城市维护标准支出20080505－县区合计_不含人员经费系数" xfId="674"/>
    <cellStyle name="好_农林水和城市维护标准支出20080505－县区合计_不含人员经费系数_财力性转移支付2010年预算参考数" xfId="675"/>
    <cellStyle name="好_农林水和城市维护标准支出20080505－县区合计_财力性转移支付2010年预算参考数" xfId="676"/>
    <cellStyle name="好_农林水和城市维护标准支出20080505－县区合计_民生政策最低支出需求" xfId="677"/>
    <cellStyle name="好_农林水和城市维护标准支出20080505－县区合计_民生政策最低支出需求_财力性转移支付2010年预算参考数" xfId="678"/>
    <cellStyle name="好_农林水和城市维护标准支出20080505－县区合计_县市旗测算-新科目（含人口规模效应）" xfId="679"/>
    <cellStyle name="好_农林水和城市维护标准支出20080505－县区合计_县市旗测算-新科目（含人口规模效应）_财力性转移支付2010年预算参考数" xfId="680"/>
    <cellStyle name="好_平邑" xfId="681"/>
    <cellStyle name="好_平邑_财力性转移支付2010年预算参考数" xfId="682"/>
    <cellStyle name="好_其他部门(按照总人口测算）—20080416" xfId="683"/>
    <cellStyle name="好_其他部门(按照总人口测算）—20080416_不含人员经费系数" xfId="684"/>
    <cellStyle name="好_其他部门(按照总人口测算）—20080416_不含人员经费系数_财力性转移支付2010年预算参考数" xfId="685"/>
    <cellStyle name="好_其他部门(按照总人口测算）—20080416_财力性转移支付2010年预算参考数" xfId="686"/>
    <cellStyle name="好_其他部门(按照总人口测算）—20080416_民生政策最低支出需求" xfId="687"/>
    <cellStyle name="好_其他部门(按照总人口测算）—20080416_民生政策最低支出需求_财力性转移支付2010年预算参考数" xfId="688"/>
    <cellStyle name="好_其他部门(按照总人口测算）—20080416_县市旗测算-新科目（含人口规模效应）" xfId="689"/>
    <cellStyle name="好_其他部门(按照总人口测算）—20080416_县市旗测算-新科目（含人口规模效应）_财力性转移支付2010年预算参考数" xfId="690"/>
    <cellStyle name="好_青海 缺口县区测算(地方填报)" xfId="691"/>
    <cellStyle name="好_青海 缺口县区测算(地方填报)_财力性转移支付2010年预算参考数" xfId="692"/>
    <cellStyle name="好_缺口县区测算" xfId="693"/>
    <cellStyle name="好_缺口县区测算（11.13）" xfId="694"/>
    <cellStyle name="好_缺口县区测算（11.13）_财力性转移支付2010年预算参考数" xfId="695"/>
    <cellStyle name="好_缺口县区测算(按2007支出增长25%测算)" xfId="696"/>
    <cellStyle name="好_缺口县区测算(按2007支出增长25%测算)_财力性转移支付2010年预算参考数" xfId="697"/>
    <cellStyle name="好_缺口县区测算(按核定人数)" xfId="698"/>
    <cellStyle name="好_缺口县区测算(按核定人数)_财力性转移支付2010年预算参考数" xfId="699"/>
    <cellStyle name="好_缺口县区测算(财政部标准)" xfId="700"/>
    <cellStyle name="好_缺口县区测算(财政部标准)_财力性转移支付2010年预算参考数" xfId="701"/>
    <cellStyle name="好_缺口县区测算_财力性转移支付2010年预算参考数" xfId="702"/>
    <cellStyle name="好_人员工资和公用经费" xfId="703"/>
    <cellStyle name="好_人员工资和公用经费_财力性转移支付2010年预算参考数" xfId="704"/>
    <cellStyle name="好_人员工资和公用经费2" xfId="705"/>
    <cellStyle name="好_人员工资和公用经费2_财力性转移支付2010年预算参考数" xfId="706"/>
    <cellStyle name="好_人员工资和公用经费3" xfId="707"/>
    <cellStyle name="好_人员工资和公用经费3_财力性转移支付2010年预算参考数" xfId="708"/>
    <cellStyle name="好_山东省民生支出标准" xfId="709"/>
    <cellStyle name="好_山东省民生支出标准_财力性转移支付2010年预算参考数" xfId="710"/>
    <cellStyle name="好_社保处下达区县2015年指标（第二批）" xfId="711"/>
    <cellStyle name="好_市辖区测算20080510" xfId="712"/>
    <cellStyle name="好_市辖区测算20080510_不含人员经费系数" xfId="713"/>
    <cellStyle name="好_市辖区测算20080510_不含人员经费系数_财力性转移支付2010年预算参考数" xfId="714"/>
    <cellStyle name="好_市辖区测算20080510_财力性转移支付2010年预算参考数" xfId="715"/>
    <cellStyle name="好_市辖区测算20080510_民生政策最低支出需求" xfId="716"/>
    <cellStyle name="好_市辖区测算20080510_民生政策最低支出需求_财力性转移支付2010年预算参考数" xfId="717"/>
    <cellStyle name="好_市辖区测算20080510_县市旗测算-新科目（含人口规模效应）" xfId="718"/>
    <cellStyle name="好_市辖区测算20080510_县市旗测算-新科目（含人口规模效应）_财力性转移支付2010年预算参考数" xfId="719"/>
    <cellStyle name="好_市辖区测算-新科目（20080626）" xfId="720"/>
    <cellStyle name="好_市辖区测算-新科目（20080626）_不含人员经费系数" xfId="721"/>
    <cellStyle name="好_市辖区测算-新科目（20080626）_不含人员经费系数_财力性转移支付2010年预算参考数" xfId="722"/>
    <cellStyle name="好_市辖区测算-新科目（20080626）_财力性转移支付2010年预算参考数" xfId="723"/>
    <cellStyle name="好_市辖区测算-新科目（20080626）_民生政策最低支出需求" xfId="724"/>
    <cellStyle name="好_市辖区测算-新科目（20080626）_民生政策最低支出需求_财力性转移支付2010年预算参考数" xfId="725"/>
    <cellStyle name="好_市辖区测算-新科目（20080626）_县市旗测算-新科目（含人口规模效应）" xfId="726"/>
    <cellStyle name="好_市辖区测算-新科目（20080626）_县市旗测算-新科目（含人口规模效应）_财力性转移支付2010年预算参考数" xfId="727"/>
    <cellStyle name="好_数据--基础数据--预算组--2015年人代会预算部分--2015.01.20--人代会前第6稿--按姚局意见改--调市级项级明细" xfId="728"/>
    <cellStyle name="好_数据--基础数据--预算组--2015年人代会预算部分--2015.01.20--人代会前第6稿--按姚局意见改--调市级项级明细_政府预算公开模板" xfId="729"/>
    <cellStyle name="好_同德" xfId="730"/>
    <cellStyle name="好_同德_财力性转移支付2010年预算参考数" xfId="731"/>
    <cellStyle name="好_危改资金测算" xfId="732"/>
    <cellStyle name="好_危改资金测算_财力性转移支付2010年预算参考数" xfId="733"/>
    <cellStyle name="好_卫生(按照总人口测算）—20080416" xfId="734"/>
    <cellStyle name="好_卫生(按照总人口测算）—20080416_不含人员经费系数" xfId="735"/>
    <cellStyle name="好_卫生(按照总人口测算）—20080416_不含人员经费系数_财力性转移支付2010年预算参考数" xfId="736"/>
    <cellStyle name="好_卫生(按照总人口测算）—20080416_财力性转移支付2010年预算参考数" xfId="737"/>
    <cellStyle name="好_卫生(按照总人口测算）—20080416_民生政策最低支出需求" xfId="738"/>
    <cellStyle name="好_卫生(按照总人口测算）—20080416_民生政策最低支出需求_财力性转移支付2010年预算参考数" xfId="739"/>
    <cellStyle name="好_卫生(按照总人口测算）—20080416_县市旗测算-新科目（含人口规模效应）" xfId="740"/>
    <cellStyle name="好_卫生(按照总人口测算）—20080416_县市旗测算-新科目（含人口规模效应）_财力性转移支付2010年预算参考数" xfId="741"/>
    <cellStyle name="好_卫生部门" xfId="742"/>
    <cellStyle name="好_卫生部门_财力性转移支付2010年预算参考数" xfId="743"/>
    <cellStyle name="好_文体广播部门" xfId="744"/>
    <cellStyle name="好_文体广播事业(按照总人口测算）—20080416" xfId="745"/>
    <cellStyle name="好_文体广播事业(按照总人口测算）—20080416_不含人员经费系数" xfId="746"/>
    <cellStyle name="好_文体广播事业(按照总人口测算）—20080416_不含人员经费系数_财力性转移支付2010年预算参考数" xfId="747"/>
    <cellStyle name="好_文体广播事业(按照总人口测算）—20080416_财力性转移支付2010年预算参考数" xfId="748"/>
    <cellStyle name="好_文体广播事业(按照总人口测算）—20080416_民生政策最低支出需求" xfId="749"/>
    <cellStyle name="好_文体广播事业(按照总人口测算）—20080416_民生政策最低支出需求_财力性转移支付2010年预算参考数" xfId="750"/>
    <cellStyle name="好_文体广播事业(按照总人口测算）—20080416_县市旗测算-新科目（含人口规模效应）" xfId="751"/>
    <cellStyle name="好_文体广播事业(按照总人口测算）—20080416_县市旗测算-新科目（含人口规模效应）_财力性转移支付2010年预算参考数" xfId="752"/>
    <cellStyle name="好_县区合并测算20080421" xfId="753"/>
    <cellStyle name="好_县区合并测算20080421_不含人员经费系数" xfId="754"/>
    <cellStyle name="好_县区合并测算20080421_不含人员经费系数_财力性转移支付2010年预算参考数" xfId="755"/>
    <cellStyle name="好_县区合并测算20080421_财力性转移支付2010年预算参考数" xfId="756"/>
    <cellStyle name="好_县区合并测算20080421_民生政策最低支出需求" xfId="757"/>
    <cellStyle name="好_县区合并测算20080421_民生政策最低支出需求_财力性转移支付2010年预算参考数" xfId="758"/>
    <cellStyle name="好_县区合并测算20080421_县市旗测算-新科目（含人口规模效应）" xfId="759"/>
    <cellStyle name="好_县区合并测算20080421_县市旗测算-新科目（含人口规模效应）_财力性转移支付2010年预算参考数" xfId="760"/>
    <cellStyle name="好_县区合并测算20080423(按照各省比重）" xfId="761"/>
    <cellStyle name="好_县区合并测算20080423(按照各省比重）_不含人员经费系数" xfId="762"/>
    <cellStyle name="好_县区合并测算20080423(按照各省比重）_不含人员经费系数_财力性转移支付2010年预算参考数" xfId="763"/>
    <cellStyle name="好_县区合并测算20080423(按照各省比重）_财力性转移支付2010年预算参考数" xfId="764"/>
    <cellStyle name="好_县区合并测算20080423(按照各省比重）_民生政策最低支出需求" xfId="765"/>
    <cellStyle name="好_县区合并测算20080423(按照各省比重）_民生政策最低支出需求_财力性转移支付2010年预算参考数" xfId="766"/>
    <cellStyle name="好_县区合并测算20080423(按照各省比重）_县市旗测算-新科目（含人口规模效应）" xfId="767"/>
    <cellStyle name="好_县区合并测算20080423(按照各省比重）_县市旗测算-新科目（含人口规模效应）_财力性转移支付2010年预算参考数" xfId="768"/>
    <cellStyle name="好_县市旗测算20080508" xfId="769"/>
    <cellStyle name="好_县市旗测算20080508_不含人员经费系数" xfId="770"/>
    <cellStyle name="好_县市旗测算20080508_不含人员经费系数_财力性转移支付2010年预算参考数" xfId="771"/>
    <cellStyle name="好_县市旗测算20080508_财力性转移支付2010年预算参考数" xfId="772"/>
    <cellStyle name="好_县市旗测算20080508_民生政策最低支出需求" xfId="773"/>
    <cellStyle name="好_县市旗测算20080508_民生政策最低支出需求_财力性转移支付2010年预算参考数" xfId="774"/>
    <cellStyle name="好_县市旗测算20080508_县市旗测算-新科目（含人口规模效应）" xfId="775"/>
    <cellStyle name="好_县市旗测算20080508_县市旗测算-新科目（含人口规模效应）_财力性转移支付2010年预算参考数" xfId="776"/>
    <cellStyle name="好_县市旗测算-新科目（20080626）" xfId="777"/>
    <cellStyle name="好_县市旗测算-新科目（20080626）_不含人员经费系数" xfId="778"/>
    <cellStyle name="好_县市旗测算-新科目（20080626）_不含人员经费系数_财力性转移支付2010年预算参考数" xfId="779"/>
    <cellStyle name="好_县市旗测算-新科目（20080626）_财力性转移支付2010年预算参考数" xfId="780"/>
    <cellStyle name="好_县市旗测算-新科目（20080626）_民生政策最低支出需求" xfId="781"/>
    <cellStyle name="好_县市旗测算-新科目（20080626）_民生政策最低支出需求_财力性转移支付2010年预算参考数" xfId="782"/>
    <cellStyle name="好_县市旗测算-新科目（20080626）_县市旗测算-新科目（含人口规模效应）" xfId="783"/>
    <cellStyle name="好_县市旗测算-新科目（20080626）_县市旗测算-新科目（含人口规模效应）_财力性转移支付2010年预算参考数" xfId="784"/>
    <cellStyle name="好_县市旗测算-新科目（20080627）" xfId="785"/>
    <cellStyle name="好_县市旗测算-新科目（20080627）_不含人员经费系数" xfId="786"/>
    <cellStyle name="好_县市旗测算-新科目（20080627）_不含人员经费系数_财力性转移支付2010年预算参考数" xfId="787"/>
    <cellStyle name="好_县市旗测算-新科目（20080627）_财力性转移支付2010年预算参考数" xfId="788"/>
    <cellStyle name="好_县市旗测算-新科目（20080627）_民生政策最低支出需求" xfId="789"/>
    <cellStyle name="好_县市旗测算-新科目（20080627）_民生政策最低支出需求_财力性转移支付2010年预算参考数" xfId="790"/>
    <cellStyle name="好_县市旗测算-新科目（20080627）_县市旗测算-新科目（含人口规模效应）" xfId="791"/>
    <cellStyle name="好_县市旗测算-新科目（20080627）_县市旗测算-新科目（含人口规模效应）_财力性转移支付2010年预算参考数" xfId="792"/>
    <cellStyle name="好_一般预算支出口径剔除表" xfId="793"/>
    <cellStyle name="好_一般预算支出口径剔除表_财力性转移支付2010年预算参考数" xfId="794"/>
    <cellStyle name="好_云南 缺口县区测算(地方填报)" xfId="795"/>
    <cellStyle name="好_云南 缺口县区测算(地方填报)_财力性转移支付2010年预算参考数" xfId="796"/>
    <cellStyle name="好_云南省2008年转移支付测算——州市本级考核部分及政策性测算" xfId="797"/>
    <cellStyle name="好_云南省2008年转移支付测算——州市本级考核部分及政策性测算_财力性转移支付2010年预算参考数" xfId="798"/>
    <cellStyle name="好_重点民生支出需求测算表社保（农村低保）081112" xfId="799"/>
    <cellStyle name="好_自行调整差异系数顺序" xfId="800"/>
    <cellStyle name="好_自行调整差异系数顺序_财力性转移支付2010年预算参考数" xfId="801"/>
    <cellStyle name="好_总人口" xfId="802"/>
    <cellStyle name="好_总人口_财力性转移支付2010年预算参考数" xfId="803"/>
    <cellStyle name="后继超级链接" xfId="804"/>
    <cellStyle name="后继超链接" xfId="805"/>
    <cellStyle name="汇总" xfId="806"/>
    <cellStyle name="汇总 2" xfId="807"/>
    <cellStyle name="Currency" xfId="808"/>
    <cellStyle name="货币 2" xfId="809"/>
    <cellStyle name="Currency [0]" xfId="810"/>
    <cellStyle name="计算" xfId="811"/>
    <cellStyle name="计算 2" xfId="812"/>
    <cellStyle name="检查单元格" xfId="813"/>
    <cellStyle name="检查单元格 2" xfId="814"/>
    <cellStyle name="解释性文本" xfId="815"/>
    <cellStyle name="解释性文本 2" xfId="816"/>
    <cellStyle name="警告文本" xfId="817"/>
    <cellStyle name="警告文本 2" xfId="818"/>
    <cellStyle name="链接单元格" xfId="819"/>
    <cellStyle name="链接单元格 2" xfId="820"/>
    <cellStyle name="霓付 [0]_ +Foil &amp; -FOIL &amp; PAPER" xfId="821"/>
    <cellStyle name="霓付_ +Foil &amp; -FOIL &amp; PAPER" xfId="822"/>
    <cellStyle name="烹拳 [0]_ +Foil &amp; -FOIL &amp; PAPER" xfId="823"/>
    <cellStyle name="烹拳_ +Foil &amp; -FOIL &amp; PAPER" xfId="824"/>
    <cellStyle name="普通_ 白土" xfId="825"/>
    <cellStyle name="千分位[0]_ 白土" xfId="826"/>
    <cellStyle name="千分位_ 白土" xfId="827"/>
    <cellStyle name="千位[0]_(人代会用)" xfId="828"/>
    <cellStyle name="千位_(人代会用)" xfId="829"/>
    <cellStyle name="Comma" xfId="830"/>
    <cellStyle name="千位分隔 10 2 2 2" xfId="831"/>
    <cellStyle name="千位分隔 11" xfId="832"/>
    <cellStyle name="千位分隔 13" xfId="833"/>
    <cellStyle name="千位分隔 2" xfId="834"/>
    <cellStyle name="千位分隔 2 2" xfId="835"/>
    <cellStyle name="千位分隔 2 2 2" xfId="836"/>
    <cellStyle name="千位分隔 2 3" xfId="837"/>
    <cellStyle name="千位分隔 3" xfId="838"/>
    <cellStyle name="千位分隔 3 2" xfId="839"/>
    <cellStyle name="千位分隔 3 2 2" xfId="840"/>
    <cellStyle name="千位分隔 3 3" xfId="841"/>
    <cellStyle name="千位分隔 4" xfId="842"/>
    <cellStyle name="千位分隔 4 2" xfId="843"/>
    <cellStyle name="千位分隔 4 2 2" xfId="844"/>
    <cellStyle name="千位分隔 4 3" xfId="845"/>
    <cellStyle name="千位分隔 4 4" xfId="846"/>
    <cellStyle name="千位分隔 5" xfId="847"/>
    <cellStyle name="千位分隔 5 2" xfId="848"/>
    <cellStyle name="千位分隔 5 2 2" xfId="849"/>
    <cellStyle name="千位分隔 5 3" xfId="850"/>
    <cellStyle name="千位分隔 6" xfId="851"/>
    <cellStyle name="千位分隔 6 2" xfId="852"/>
    <cellStyle name="千位分隔 7" xfId="853"/>
    <cellStyle name="千位分隔 8" xfId="854"/>
    <cellStyle name="Comma [0]" xfId="855"/>
    <cellStyle name="千位分隔[0] 2" xfId="856"/>
    <cellStyle name="千位分隔[0] 3" xfId="857"/>
    <cellStyle name="千位分隔[0] 4" xfId="858"/>
    <cellStyle name="千位分季_新建 Microsoft Excel 工作表" xfId="859"/>
    <cellStyle name="钎霖_4岿角利" xfId="860"/>
    <cellStyle name="强调 1" xfId="861"/>
    <cellStyle name="强调 2" xfId="862"/>
    <cellStyle name="强调 3" xfId="863"/>
    <cellStyle name="强调文字颜色 1 2" xfId="864"/>
    <cellStyle name="强调文字颜色 2 2" xfId="865"/>
    <cellStyle name="强调文字颜色 3 2" xfId="866"/>
    <cellStyle name="强调文字颜色 4 2" xfId="867"/>
    <cellStyle name="强调文字颜色 5 2" xfId="868"/>
    <cellStyle name="强调文字颜色 6 2" xfId="869"/>
    <cellStyle name="适中" xfId="870"/>
    <cellStyle name="适中 2" xfId="871"/>
    <cellStyle name="输出" xfId="872"/>
    <cellStyle name="输出 2" xfId="873"/>
    <cellStyle name="输入" xfId="874"/>
    <cellStyle name="输入 2" xfId="875"/>
    <cellStyle name="数字" xfId="876"/>
    <cellStyle name="未定义" xfId="877"/>
    <cellStyle name="小数" xfId="878"/>
    <cellStyle name="样式 1" xfId="879"/>
    <cellStyle name="Followed Hyperlink" xfId="880"/>
    <cellStyle name="着色 1" xfId="881"/>
    <cellStyle name="着色 2" xfId="882"/>
    <cellStyle name="着色 3" xfId="883"/>
    <cellStyle name="着色 4" xfId="884"/>
    <cellStyle name="着色 5" xfId="885"/>
    <cellStyle name="着色 6" xfId="886"/>
    <cellStyle name="注释" xfId="887"/>
    <cellStyle name="注释 2" xfId="888"/>
    <cellStyle name="콤마 [0]_BOILER-CO1" xfId="889"/>
    <cellStyle name="콤마_BOILER-CO1" xfId="890"/>
    <cellStyle name="통화 [0]_BOILER-CO1" xfId="891"/>
    <cellStyle name="통화_BOILER-CO1" xfId="892"/>
    <cellStyle name="표준_0N-HANDLING " xfId="8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40"/>
  <sheetViews>
    <sheetView workbookViewId="0" topLeftCell="A1">
      <selection activeCell="B5" sqref="B5:F24"/>
    </sheetView>
  </sheetViews>
  <sheetFormatPr defaultColWidth="9.00390625" defaultRowHeight="14.25"/>
  <cols>
    <col min="1" max="1" width="38.625" style="186" customWidth="1"/>
    <col min="2" max="3" width="12.75390625" style="186" bestFit="1" customWidth="1"/>
    <col min="4" max="4" width="32.75390625" style="186" bestFit="1" customWidth="1"/>
    <col min="5" max="6" width="12.75390625" style="186" bestFit="1" customWidth="1"/>
    <col min="7" max="16384" width="9.00390625" style="186" customWidth="1"/>
  </cols>
  <sheetData>
    <row r="1" spans="1:5" ht="15">
      <c r="A1" s="187" t="s">
        <v>855</v>
      </c>
      <c r="B1" s="187"/>
      <c r="C1" s="187"/>
      <c r="D1" s="188"/>
      <c r="E1" s="188"/>
    </row>
    <row r="2" spans="1:6" ht="20.25">
      <c r="A2" s="379" t="s">
        <v>913</v>
      </c>
      <c r="B2" s="379"/>
      <c r="C2" s="379"/>
      <c r="D2" s="379"/>
      <c r="E2" s="379"/>
      <c r="F2" s="379"/>
    </row>
    <row r="3" spans="1:6" ht="15">
      <c r="A3" s="189"/>
      <c r="B3" s="189"/>
      <c r="C3" s="189"/>
      <c r="D3" s="189"/>
      <c r="E3" s="190"/>
      <c r="F3" s="190" t="s">
        <v>6</v>
      </c>
    </row>
    <row r="4" spans="1:6" s="185" customFormat="1" ht="24" customHeight="1">
      <c r="A4" s="191" t="s">
        <v>857</v>
      </c>
      <c r="B4" s="191" t="s">
        <v>8</v>
      </c>
      <c r="C4" s="191" t="s">
        <v>9</v>
      </c>
      <c r="D4" s="191" t="s">
        <v>857</v>
      </c>
      <c r="E4" s="191" t="s">
        <v>8</v>
      </c>
      <c r="F4" s="191" t="s">
        <v>9</v>
      </c>
    </row>
    <row r="5" spans="1:6" s="185" customFormat="1" ht="24" customHeight="1">
      <c r="A5" s="192" t="s">
        <v>860</v>
      </c>
      <c r="B5" s="193">
        <f>SUM(B6:B9)</f>
        <v>67154</v>
      </c>
      <c r="C5" s="193">
        <f>SUM(C6:C9)</f>
        <v>67554</v>
      </c>
      <c r="D5" s="194" t="s">
        <v>902</v>
      </c>
      <c r="E5" s="195">
        <v>1193</v>
      </c>
      <c r="F5" s="193">
        <v>1193</v>
      </c>
    </row>
    <row r="6" spans="1:6" s="185" customFormat="1" ht="24" customHeight="1">
      <c r="A6" s="196" t="s">
        <v>862</v>
      </c>
      <c r="B6" s="195">
        <v>35641</v>
      </c>
      <c r="C6" s="193">
        <f>35977</f>
        <v>35977</v>
      </c>
      <c r="D6" s="194" t="s">
        <v>904</v>
      </c>
      <c r="E6" s="193">
        <v>0</v>
      </c>
      <c r="F6" s="193">
        <v>0</v>
      </c>
    </row>
    <row r="7" spans="1:6" s="185" customFormat="1" ht="24" customHeight="1">
      <c r="A7" s="196" t="s">
        <v>864</v>
      </c>
      <c r="B7" s="195">
        <v>11927</v>
      </c>
      <c r="C7" s="193">
        <v>11927</v>
      </c>
      <c r="D7" s="194" t="s">
        <v>906</v>
      </c>
      <c r="E7" s="193">
        <v>0</v>
      </c>
      <c r="F7" s="193">
        <v>0</v>
      </c>
    </row>
    <row r="8" spans="1:6" s="185" customFormat="1" ht="24" customHeight="1">
      <c r="A8" s="196" t="s">
        <v>866</v>
      </c>
      <c r="B8" s="195">
        <v>19030</v>
      </c>
      <c r="C8" s="193">
        <v>19094</v>
      </c>
      <c r="D8" s="192" t="s">
        <v>908</v>
      </c>
      <c r="E8" s="193">
        <f>SUM(E9:E10)</f>
        <v>135615</v>
      </c>
      <c r="F8" s="193">
        <f>F9+F10+F11</f>
        <v>135705</v>
      </c>
    </row>
    <row r="9" spans="1:6" s="185" customFormat="1" ht="24" customHeight="1">
      <c r="A9" s="196" t="s">
        <v>868</v>
      </c>
      <c r="B9" s="195">
        <v>556</v>
      </c>
      <c r="C9" s="193">
        <v>556</v>
      </c>
      <c r="D9" s="196" t="s">
        <v>910</v>
      </c>
      <c r="E9" s="195">
        <v>121821</v>
      </c>
      <c r="F9" s="193">
        <v>121911</v>
      </c>
    </row>
    <row r="10" spans="1:6" s="185" customFormat="1" ht="24" customHeight="1">
      <c r="A10" s="192" t="s">
        <v>870</v>
      </c>
      <c r="B10" s="193">
        <f>SUM(B11:B20)</f>
        <v>21296</v>
      </c>
      <c r="C10" s="193">
        <f>SUM(C11:C20)</f>
        <v>21295</v>
      </c>
      <c r="D10" s="196" t="s">
        <v>911</v>
      </c>
      <c r="E10" s="195">
        <v>13794</v>
      </c>
      <c r="F10" s="193">
        <v>13794</v>
      </c>
    </row>
    <row r="11" spans="1:6" s="185" customFormat="1" ht="24" customHeight="1">
      <c r="A11" s="196" t="s">
        <v>872</v>
      </c>
      <c r="B11" s="195">
        <v>11668</v>
      </c>
      <c r="C11" s="193">
        <v>11668</v>
      </c>
      <c r="D11" s="196" t="s">
        <v>859</v>
      </c>
      <c r="E11" s="193">
        <v>0</v>
      </c>
      <c r="F11" s="193">
        <v>0</v>
      </c>
    </row>
    <row r="12" spans="1:6" s="185" customFormat="1" ht="24" customHeight="1">
      <c r="A12" s="196" t="s">
        <v>874</v>
      </c>
      <c r="B12" s="195">
        <v>18</v>
      </c>
      <c r="C12" s="193">
        <v>18</v>
      </c>
      <c r="D12" s="192" t="s">
        <v>861</v>
      </c>
      <c r="E12" s="195">
        <v>71</v>
      </c>
      <c r="F12" s="195">
        <v>71</v>
      </c>
    </row>
    <row r="13" spans="1:6" s="185" customFormat="1" ht="24" customHeight="1">
      <c r="A13" s="196" t="s">
        <v>876</v>
      </c>
      <c r="B13" s="195">
        <v>156</v>
      </c>
      <c r="C13" s="193">
        <v>156</v>
      </c>
      <c r="D13" s="196" t="s">
        <v>863</v>
      </c>
      <c r="E13" s="195">
        <v>71</v>
      </c>
      <c r="F13" s="195">
        <v>71</v>
      </c>
    </row>
    <row r="14" spans="1:6" s="185" customFormat="1" ht="24" customHeight="1">
      <c r="A14" s="196" t="s">
        <v>878</v>
      </c>
      <c r="B14" s="195">
        <v>585</v>
      </c>
      <c r="C14" s="193">
        <v>585</v>
      </c>
      <c r="D14" s="196" t="s">
        <v>865</v>
      </c>
      <c r="E14" s="193">
        <v>0</v>
      </c>
      <c r="F14" s="193">
        <v>0</v>
      </c>
    </row>
    <row r="15" spans="1:6" s="185" customFormat="1" ht="24" customHeight="1">
      <c r="A15" s="196" t="s">
        <v>880</v>
      </c>
      <c r="B15" s="195">
        <v>7960</v>
      </c>
      <c r="C15" s="193">
        <v>7960</v>
      </c>
      <c r="D15" s="192" t="s">
        <v>867</v>
      </c>
      <c r="E15" s="195">
        <f>SUM(E16:E20)</f>
        <v>4240</v>
      </c>
      <c r="F15" s="195">
        <f>SUM(F16:F20)</f>
        <v>4249</v>
      </c>
    </row>
    <row r="16" spans="1:6" s="185" customFormat="1" ht="24" customHeight="1">
      <c r="A16" s="196" t="s">
        <v>882</v>
      </c>
      <c r="B16" s="195">
        <v>5</v>
      </c>
      <c r="C16" s="193">
        <v>4</v>
      </c>
      <c r="D16" s="196" t="s">
        <v>869</v>
      </c>
      <c r="E16" s="195">
        <v>1478</v>
      </c>
      <c r="F16" s="193">
        <v>1478</v>
      </c>
    </row>
    <row r="17" spans="1:6" s="185" customFormat="1" ht="24" customHeight="1">
      <c r="A17" s="196" t="s">
        <v>884</v>
      </c>
      <c r="B17" s="193">
        <v>0</v>
      </c>
      <c r="C17" s="193">
        <v>0</v>
      </c>
      <c r="D17" s="196" t="s">
        <v>871</v>
      </c>
      <c r="E17" s="195">
        <v>2</v>
      </c>
      <c r="F17" s="193">
        <v>2</v>
      </c>
    </row>
    <row r="18" spans="1:6" s="185" customFormat="1" ht="24" customHeight="1">
      <c r="A18" s="196" t="s">
        <v>886</v>
      </c>
      <c r="B18" s="195">
        <v>147</v>
      </c>
      <c r="C18" s="193">
        <v>147</v>
      </c>
      <c r="D18" s="196" t="s">
        <v>873</v>
      </c>
      <c r="E18" s="195">
        <v>0</v>
      </c>
      <c r="F18" s="193">
        <v>0</v>
      </c>
    </row>
    <row r="19" spans="1:6" s="185" customFormat="1" ht="24" customHeight="1">
      <c r="A19" s="194" t="s">
        <v>888</v>
      </c>
      <c r="B19" s="195">
        <v>597</v>
      </c>
      <c r="C19" s="193">
        <v>597</v>
      </c>
      <c r="D19" s="196" t="s">
        <v>875</v>
      </c>
      <c r="E19" s="195">
        <v>2714</v>
      </c>
      <c r="F19" s="193">
        <v>2723</v>
      </c>
    </row>
    <row r="20" spans="1:6" s="185" customFormat="1" ht="24" customHeight="1">
      <c r="A20" s="196" t="s">
        <v>890</v>
      </c>
      <c r="B20" s="195">
        <v>160</v>
      </c>
      <c r="C20" s="193">
        <v>160</v>
      </c>
      <c r="D20" s="196" t="s">
        <v>877</v>
      </c>
      <c r="E20" s="195">
        <v>46</v>
      </c>
      <c r="F20" s="193">
        <v>46</v>
      </c>
    </row>
    <row r="21" spans="1:6" s="185" customFormat="1" ht="24" customHeight="1">
      <c r="A21" s="192" t="s">
        <v>892</v>
      </c>
      <c r="B21" s="195">
        <v>1193</v>
      </c>
      <c r="C21" s="193">
        <v>1193</v>
      </c>
      <c r="D21" s="192" t="s">
        <v>879</v>
      </c>
      <c r="E21" s="193">
        <f>SUM(E22:E23)</f>
        <v>50431</v>
      </c>
      <c r="F21" s="193">
        <v>60430</v>
      </c>
    </row>
    <row r="22" spans="1:6" s="185" customFormat="1" ht="24" customHeight="1">
      <c r="A22" s="194" t="s">
        <v>894</v>
      </c>
      <c r="B22" s="193">
        <v>0</v>
      </c>
      <c r="C22" s="193">
        <v>0</v>
      </c>
      <c r="D22" s="196" t="s">
        <v>881</v>
      </c>
      <c r="E22" s="193"/>
      <c r="F22" s="197"/>
    </row>
    <row r="23" spans="1:6" s="185" customFormat="1" ht="24" customHeight="1">
      <c r="A23" s="194" t="s">
        <v>896</v>
      </c>
      <c r="B23" s="193">
        <v>0</v>
      </c>
      <c r="C23" s="193">
        <v>0</v>
      </c>
      <c r="D23" s="196" t="s">
        <v>883</v>
      </c>
      <c r="E23" s="195">
        <v>50431</v>
      </c>
      <c r="F23" s="193">
        <v>60430</v>
      </c>
    </row>
    <row r="24" spans="1:6" s="185" customFormat="1" ht="24" customHeight="1">
      <c r="A24" s="194" t="s">
        <v>898</v>
      </c>
      <c r="B24" s="193">
        <v>0</v>
      </c>
      <c r="C24" s="193">
        <v>0</v>
      </c>
      <c r="D24" s="198"/>
      <c r="E24" s="199"/>
      <c r="F24" s="197"/>
    </row>
    <row r="25" spans="1:6" s="185" customFormat="1" ht="24" customHeight="1">
      <c r="A25" s="194" t="s">
        <v>900</v>
      </c>
      <c r="B25" s="193">
        <v>0</v>
      </c>
      <c r="C25" s="193">
        <v>0</v>
      </c>
      <c r="D25" s="191" t="s">
        <v>67</v>
      </c>
      <c r="E25" s="193">
        <f>B5+B10+B21+E8+E12+E15+E21</f>
        <v>280000</v>
      </c>
      <c r="F25" s="193">
        <f>C5+C10+C21+F8+F12+F15+F21</f>
        <v>290497</v>
      </c>
    </row>
    <row r="26" spans="1:5" s="185" customFormat="1" ht="22.5" customHeight="1">
      <c r="A26" s="200" t="s">
        <v>912</v>
      </c>
      <c r="B26" s="186"/>
      <c r="C26" s="186"/>
      <c r="D26" s="186"/>
      <c r="E26" s="186"/>
    </row>
    <row r="27" spans="1:5" s="185" customFormat="1" ht="15">
      <c r="A27" s="186"/>
      <c r="B27" s="186"/>
      <c r="C27" s="186"/>
      <c r="D27" s="186"/>
      <c r="E27" s="186"/>
    </row>
    <row r="28" spans="1:5" s="185" customFormat="1" ht="15">
      <c r="A28" s="186"/>
      <c r="B28" s="186"/>
      <c r="C28" s="186"/>
      <c r="D28" s="186"/>
      <c r="E28" s="186"/>
    </row>
    <row r="29" spans="1:5" s="185" customFormat="1" ht="15">
      <c r="A29" s="186"/>
      <c r="B29" s="186"/>
      <c r="C29" s="186"/>
      <c r="D29" s="186"/>
      <c r="E29" s="186"/>
    </row>
    <row r="30" spans="1:5" s="185" customFormat="1" ht="15">
      <c r="A30" s="186"/>
      <c r="B30" s="186"/>
      <c r="C30" s="186"/>
      <c r="D30" s="186"/>
      <c r="E30" s="186"/>
    </row>
    <row r="31" spans="1:5" s="185" customFormat="1" ht="15">
      <c r="A31" s="186"/>
      <c r="B31" s="186"/>
      <c r="C31" s="186"/>
      <c r="D31" s="186"/>
      <c r="E31" s="186"/>
    </row>
    <row r="32" spans="1:5" s="185" customFormat="1" ht="15">
      <c r="A32" s="186"/>
      <c r="B32" s="186"/>
      <c r="C32" s="186"/>
      <c r="D32" s="186"/>
      <c r="E32" s="186"/>
    </row>
    <row r="33" spans="1:5" s="185" customFormat="1" ht="15">
      <c r="A33" s="186"/>
      <c r="B33" s="186"/>
      <c r="C33" s="186"/>
      <c r="D33" s="186"/>
      <c r="E33" s="186"/>
    </row>
    <row r="34" spans="1:5" s="185" customFormat="1" ht="15">
      <c r="A34" s="186"/>
      <c r="B34" s="186"/>
      <c r="C34" s="186"/>
      <c r="D34" s="186"/>
      <c r="E34" s="186"/>
    </row>
    <row r="35" spans="1:5" s="185" customFormat="1" ht="15">
      <c r="A35" s="186"/>
      <c r="B35" s="186"/>
      <c r="C35" s="186"/>
      <c r="D35" s="186"/>
      <c r="E35" s="186"/>
    </row>
    <row r="36" spans="1:5" s="185" customFormat="1" ht="15">
      <c r="A36" s="186"/>
      <c r="B36" s="186"/>
      <c r="C36" s="186"/>
      <c r="D36" s="186"/>
      <c r="E36" s="186"/>
    </row>
    <row r="37" spans="1:5" s="185" customFormat="1" ht="15">
      <c r="A37" s="186"/>
      <c r="B37" s="186"/>
      <c r="C37" s="186"/>
      <c r="D37" s="186"/>
      <c r="E37" s="186"/>
    </row>
    <row r="38" spans="1:5" s="185" customFormat="1" ht="15">
      <c r="A38" s="186"/>
      <c r="B38" s="186"/>
      <c r="C38" s="186"/>
      <c r="D38" s="186"/>
      <c r="E38" s="186"/>
    </row>
    <row r="39" spans="1:5" s="185" customFormat="1" ht="15">
      <c r="A39" s="186"/>
      <c r="B39" s="186"/>
      <c r="C39" s="186"/>
      <c r="D39" s="186"/>
      <c r="E39" s="186"/>
    </row>
    <row r="40" spans="1:5" s="185" customFormat="1" ht="15">
      <c r="A40" s="186"/>
      <c r="B40" s="186"/>
      <c r="C40" s="186"/>
      <c r="D40" s="186"/>
      <c r="E40" s="186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J209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0" sqref="A10:IV10"/>
    </sheetView>
  </sheetViews>
  <sheetFormatPr defaultColWidth="9.00390625" defaultRowHeight="14.25"/>
  <cols>
    <col min="1" max="1" width="66.25390625" style="156" customWidth="1"/>
    <col min="2" max="2" width="31.25390625" style="157" customWidth="1"/>
    <col min="3" max="3" width="19.75390625" style="158" customWidth="1"/>
    <col min="4" max="4" width="17.75390625" style="158" customWidth="1"/>
    <col min="5" max="5" width="17.00390625" style="158" customWidth="1"/>
    <col min="6" max="6" width="15.125" style="158" customWidth="1"/>
    <col min="7" max="7" width="12.125" style="158" customWidth="1"/>
    <col min="8" max="227" width="9.00390625" style="158" customWidth="1"/>
    <col min="228" max="228" width="46.125" style="158" customWidth="1"/>
    <col min="229" max="229" width="16.75390625" style="158" customWidth="1"/>
    <col min="230" max="231" width="14.75390625" style="158" customWidth="1"/>
    <col min="232" max="232" width="11.25390625" style="158" customWidth="1"/>
    <col min="233" max="233" width="9.50390625" style="158" bestFit="1" customWidth="1"/>
    <col min="234" max="16384" width="9.00390625" style="158" customWidth="1"/>
  </cols>
  <sheetData>
    <row r="1" ht="12.75">
      <c r="A1" s="159" t="s">
        <v>914</v>
      </c>
    </row>
    <row r="2" spans="1:7" ht="30" customHeight="1">
      <c r="A2" s="380" t="s">
        <v>915</v>
      </c>
      <c r="B2" s="380"/>
      <c r="C2" s="380"/>
      <c r="D2" s="380"/>
      <c r="E2" s="380"/>
      <c r="F2" s="380"/>
      <c r="G2" s="380"/>
    </row>
    <row r="3" spans="1:7" ht="15" customHeight="1">
      <c r="A3" s="160"/>
      <c r="B3" s="160"/>
      <c r="G3" s="161" t="s">
        <v>6</v>
      </c>
    </row>
    <row r="4" spans="1:7" s="153" customFormat="1" ht="19.5" customHeight="1">
      <c r="A4" s="384" t="s">
        <v>7</v>
      </c>
      <c r="B4" s="384" t="s">
        <v>916</v>
      </c>
      <c r="C4" s="381" t="s">
        <v>917</v>
      </c>
      <c r="D4" s="382"/>
      <c r="E4" s="383"/>
      <c r="F4" s="384" t="s">
        <v>918</v>
      </c>
      <c r="G4" s="386" t="s">
        <v>919</v>
      </c>
    </row>
    <row r="5" spans="1:7" s="153" customFormat="1" ht="19.5" customHeight="1">
      <c r="A5" s="385"/>
      <c r="B5" s="385"/>
      <c r="C5" s="162" t="s">
        <v>920</v>
      </c>
      <c r="D5" s="162" t="s">
        <v>921</v>
      </c>
      <c r="E5" s="162" t="s">
        <v>922</v>
      </c>
      <c r="F5" s="385"/>
      <c r="G5" s="387"/>
    </row>
    <row r="6" spans="1:7" s="153" customFormat="1" ht="19.5" customHeight="1">
      <c r="A6" s="163" t="s">
        <v>923</v>
      </c>
      <c r="B6" s="162"/>
      <c r="C6" s="164">
        <f>C7+C8+C9</f>
        <v>46103</v>
      </c>
      <c r="D6" s="164">
        <f>D7+D8+D9</f>
        <v>46103</v>
      </c>
      <c r="E6" s="164">
        <f>E7+E8+E9</f>
        <v>46103</v>
      </c>
      <c r="F6" s="165">
        <f>C6-D6</f>
        <v>0</v>
      </c>
      <c r="G6" s="165">
        <f aca="true" t="shared" si="0" ref="G6:G69">D6/C6*100</f>
        <v>100</v>
      </c>
    </row>
    <row r="7" spans="1:7" s="153" customFormat="1" ht="19.5" customHeight="1">
      <c r="A7" s="166" t="s">
        <v>924</v>
      </c>
      <c r="B7" s="166"/>
      <c r="C7" s="167">
        <f>11389+575</f>
        <v>11964</v>
      </c>
      <c r="D7" s="167">
        <f>11389+575</f>
        <v>11964</v>
      </c>
      <c r="E7" s="167">
        <f>11389+575</f>
        <v>11964</v>
      </c>
      <c r="F7" s="168">
        <f>C7-D7</f>
        <v>0</v>
      </c>
      <c r="G7" s="168">
        <f t="shared" si="0"/>
        <v>100</v>
      </c>
    </row>
    <row r="8" spans="1:7" s="153" customFormat="1" ht="19.5" customHeight="1">
      <c r="A8" s="166" t="s">
        <v>925</v>
      </c>
      <c r="B8" s="166"/>
      <c r="C8" s="167">
        <v>6911</v>
      </c>
      <c r="D8" s="167">
        <v>6911</v>
      </c>
      <c r="E8" s="167">
        <v>6911</v>
      </c>
      <c r="F8" s="168">
        <f>C8-D8</f>
        <v>0</v>
      </c>
      <c r="G8" s="168">
        <f t="shared" si="0"/>
        <v>100</v>
      </c>
    </row>
    <row r="9" spans="1:7" s="153" customFormat="1" ht="19.5" customHeight="1">
      <c r="A9" s="166" t="s">
        <v>926</v>
      </c>
      <c r="B9" s="166"/>
      <c r="C9" s="167">
        <v>27228</v>
      </c>
      <c r="D9" s="167">
        <v>27228</v>
      </c>
      <c r="E9" s="167">
        <v>27228</v>
      </c>
      <c r="F9" s="168">
        <f>C9-D9</f>
        <v>0</v>
      </c>
      <c r="G9" s="168">
        <f t="shared" si="0"/>
        <v>100</v>
      </c>
    </row>
    <row r="10" spans="1:7" s="154" customFormat="1" ht="19.5" customHeight="1">
      <c r="A10" s="163" t="s">
        <v>927</v>
      </c>
      <c r="B10" s="169"/>
      <c r="C10" s="164">
        <v>84046</v>
      </c>
      <c r="D10" s="164">
        <v>75559.03</v>
      </c>
      <c r="E10" s="164">
        <v>51366.64</v>
      </c>
      <c r="F10" s="164">
        <f>C10-E10</f>
        <v>32679.36</v>
      </c>
      <c r="G10" s="165">
        <f t="shared" si="0"/>
        <v>89.90199414606288</v>
      </c>
    </row>
    <row r="11" spans="1:10" s="155" customFormat="1" ht="19.5" customHeight="1">
      <c r="A11" s="170" t="s">
        <v>928</v>
      </c>
      <c r="B11" s="40" t="s">
        <v>929</v>
      </c>
      <c r="C11" s="171">
        <v>55</v>
      </c>
      <c r="D11" s="171">
        <v>0</v>
      </c>
      <c r="E11" s="171">
        <v>0</v>
      </c>
      <c r="F11" s="164">
        <f aca="true" t="shared" si="1" ref="F11:F74">C11-E11</f>
        <v>55</v>
      </c>
      <c r="G11" s="165">
        <f t="shared" si="0"/>
        <v>0</v>
      </c>
      <c r="J11" s="155" t="s">
        <v>930</v>
      </c>
    </row>
    <row r="12" spans="1:7" s="155" customFormat="1" ht="19.5" customHeight="1">
      <c r="A12" s="172" t="s">
        <v>931</v>
      </c>
      <c r="B12" s="40" t="s">
        <v>932</v>
      </c>
      <c r="C12" s="171">
        <v>279</v>
      </c>
      <c r="D12" s="171">
        <v>279</v>
      </c>
      <c r="E12" s="171">
        <v>69</v>
      </c>
      <c r="F12" s="164">
        <f t="shared" si="1"/>
        <v>210</v>
      </c>
      <c r="G12" s="165">
        <f t="shared" si="0"/>
        <v>100</v>
      </c>
    </row>
    <row r="13" spans="1:7" s="155" customFormat="1" ht="19.5" customHeight="1">
      <c r="A13" s="172" t="s">
        <v>933</v>
      </c>
      <c r="B13" s="40" t="s">
        <v>932</v>
      </c>
      <c r="C13" s="171">
        <v>183</v>
      </c>
      <c r="D13" s="171">
        <v>183</v>
      </c>
      <c r="E13" s="171">
        <v>183</v>
      </c>
      <c r="F13" s="164">
        <f t="shared" si="1"/>
        <v>0</v>
      </c>
      <c r="G13" s="165">
        <f t="shared" si="0"/>
        <v>100</v>
      </c>
    </row>
    <row r="14" spans="1:7" s="155" customFormat="1" ht="19.5" customHeight="1">
      <c r="A14" s="173" t="s">
        <v>934</v>
      </c>
      <c r="B14" s="40" t="s">
        <v>932</v>
      </c>
      <c r="C14" s="171">
        <v>111</v>
      </c>
      <c r="D14" s="171">
        <v>111</v>
      </c>
      <c r="E14" s="171">
        <v>111</v>
      </c>
      <c r="F14" s="164">
        <f t="shared" si="1"/>
        <v>0</v>
      </c>
      <c r="G14" s="165">
        <f t="shared" si="0"/>
        <v>100</v>
      </c>
    </row>
    <row r="15" spans="1:7" s="155" customFormat="1" ht="19.5" customHeight="1">
      <c r="A15" s="172" t="s">
        <v>935</v>
      </c>
      <c r="B15" s="40" t="s">
        <v>936</v>
      </c>
      <c r="C15" s="171">
        <v>19</v>
      </c>
      <c r="D15" s="171">
        <v>19</v>
      </c>
      <c r="E15" s="171">
        <v>0</v>
      </c>
      <c r="F15" s="164">
        <f t="shared" si="1"/>
        <v>19</v>
      </c>
      <c r="G15" s="165">
        <f t="shared" si="0"/>
        <v>100</v>
      </c>
    </row>
    <row r="16" spans="1:7" s="155" customFormat="1" ht="19.5" customHeight="1">
      <c r="A16" s="172" t="s">
        <v>937</v>
      </c>
      <c r="B16" s="40" t="s">
        <v>938</v>
      </c>
      <c r="C16" s="171">
        <v>18.32</v>
      </c>
      <c r="D16" s="171">
        <v>18.32</v>
      </c>
      <c r="E16" s="171">
        <v>18.32</v>
      </c>
      <c r="F16" s="164">
        <f t="shared" si="1"/>
        <v>0</v>
      </c>
      <c r="G16" s="165">
        <f t="shared" si="0"/>
        <v>100</v>
      </c>
    </row>
    <row r="17" spans="1:7" s="155" customFormat="1" ht="19.5" customHeight="1">
      <c r="A17" s="172" t="s">
        <v>939</v>
      </c>
      <c r="B17" s="40" t="s">
        <v>940</v>
      </c>
      <c r="C17" s="171">
        <v>736.64</v>
      </c>
      <c r="D17" s="171">
        <v>736.64</v>
      </c>
      <c r="E17" s="171">
        <v>0</v>
      </c>
      <c r="F17" s="164">
        <f t="shared" si="1"/>
        <v>736.64</v>
      </c>
      <c r="G17" s="165">
        <f t="shared" si="0"/>
        <v>100</v>
      </c>
    </row>
    <row r="18" spans="1:7" s="155" customFormat="1" ht="19.5" customHeight="1">
      <c r="A18" s="172" t="s">
        <v>941</v>
      </c>
      <c r="B18" s="40" t="s">
        <v>940</v>
      </c>
      <c r="C18" s="171">
        <v>1335.04</v>
      </c>
      <c r="D18" s="171">
        <v>1065.98</v>
      </c>
      <c r="E18" s="171">
        <v>855.87</v>
      </c>
      <c r="F18" s="164">
        <f t="shared" si="1"/>
        <v>479.16999999999996</v>
      </c>
      <c r="G18" s="165">
        <f t="shared" si="0"/>
        <v>79.84629674017259</v>
      </c>
    </row>
    <row r="19" spans="1:7" s="155" customFormat="1" ht="19.5" customHeight="1">
      <c r="A19" s="172" t="s">
        <v>942</v>
      </c>
      <c r="B19" s="40" t="s">
        <v>943</v>
      </c>
      <c r="C19" s="171">
        <v>101</v>
      </c>
      <c r="D19" s="171">
        <v>101</v>
      </c>
      <c r="E19" s="171">
        <v>101</v>
      </c>
      <c r="F19" s="164">
        <f t="shared" si="1"/>
        <v>0</v>
      </c>
      <c r="G19" s="165">
        <f t="shared" si="0"/>
        <v>100</v>
      </c>
    </row>
    <row r="20" spans="1:7" s="155" customFormat="1" ht="19.5" customHeight="1">
      <c r="A20" s="172" t="s">
        <v>942</v>
      </c>
      <c r="B20" s="40" t="s">
        <v>943</v>
      </c>
      <c r="C20" s="171">
        <v>20</v>
      </c>
      <c r="D20" s="171">
        <v>20</v>
      </c>
      <c r="E20" s="171">
        <v>20</v>
      </c>
      <c r="F20" s="164">
        <f t="shared" si="1"/>
        <v>0</v>
      </c>
      <c r="G20" s="165">
        <f t="shared" si="0"/>
        <v>100</v>
      </c>
    </row>
    <row r="21" spans="1:7" s="155" customFormat="1" ht="19.5" customHeight="1">
      <c r="A21" s="172" t="s">
        <v>942</v>
      </c>
      <c r="B21" s="40" t="s">
        <v>943</v>
      </c>
      <c r="C21" s="171">
        <v>263</v>
      </c>
      <c r="D21" s="171">
        <v>263</v>
      </c>
      <c r="E21" s="171">
        <v>263</v>
      </c>
      <c r="F21" s="164">
        <f t="shared" si="1"/>
        <v>0</v>
      </c>
      <c r="G21" s="165">
        <f t="shared" si="0"/>
        <v>100</v>
      </c>
    </row>
    <row r="22" spans="1:7" s="155" customFormat="1" ht="19.5" customHeight="1">
      <c r="A22" s="172" t="s">
        <v>942</v>
      </c>
      <c r="B22" s="40" t="s">
        <v>943</v>
      </c>
      <c r="C22" s="171">
        <v>60</v>
      </c>
      <c r="D22" s="171">
        <v>60</v>
      </c>
      <c r="E22" s="171">
        <v>60</v>
      </c>
      <c r="F22" s="164">
        <f t="shared" si="1"/>
        <v>0</v>
      </c>
      <c r="G22" s="165">
        <f t="shared" si="0"/>
        <v>100</v>
      </c>
    </row>
    <row r="23" spans="1:7" s="155" customFormat="1" ht="19.5" customHeight="1">
      <c r="A23" s="172" t="s">
        <v>944</v>
      </c>
      <c r="B23" s="40" t="s">
        <v>945</v>
      </c>
      <c r="C23" s="171">
        <v>39</v>
      </c>
      <c r="D23" s="171">
        <v>39</v>
      </c>
      <c r="E23" s="171">
        <v>0</v>
      </c>
      <c r="F23" s="164">
        <f t="shared" si="1"/>
        <v>39</v>
      </c>
      <c r="G23" s="165">
        <f t="shared" si="0"/>
        <v>100</v>
      </c>
    </row>
    <row r="24" spans="1:7" s="155" customFormat="1" ht="19.5" customHeight="1">
      <c r="A24" s="172" t="s">
        <v>946</v>
      </c>
      <c r="B24" s="40" t="s">
        <v>947</v>
      </c>
      <c r="C24" s="171">
        <v>1335.04</v>
      </c>
      <c r="D24" s="171">
        <v>1335.04</v>
      </c>
      <c r="E24" s="171">
        <v>1065.98</v>
      </c>
      <c r="F24" s="164">
        <f t="shared" si="1"/>
        <v>269.05999999999995</v>
      </c>
      <c r="G24" s="165">
        <f t="shared" si="0"/>
        <v>100</v>
      </c>
    </row>
    <row r="25" spans="1:7" s="155" customFormat="1" ht="19.5" customHeight="1">
      <c r="A25" s="172" t="s">
        <v>948</v>
      </c>
      <c r="B25" s="40" t="s">
        <v>949</v>
      </c>
      <c r="C25" s="171">
        <v>3774.4</v>
      </c>
      <c r="D25" s="171">
        <v>3774.4</v>
      </c>
      <c r="E25" s="171">
        <v>3774.4</v>
      </c>
      <c r="F25" s="164">
        <f t="shared" si="1"/>
        <v>0</v>
      </c>
      <c r="G25" s="165">
        <f t="shared" si="0"/>
        <v>100</v>
      </c>
    </row>
    <row r="26" spans="1:7" s="155" customFormat="1" ht="19.5" customHeight="1">
      <c r="A26" s="172" t="s">
        <v>950</v>
      </c>
      <c r="B26" s="40" t="s">
        <v>951</v>
      </c>
      <c r="C26" s="171">
        <v>15</v>
      </c>
      <c r="D26" s="171">
        <v>15</v>
      </c>
      <c r="E26" s="171">
        <v>0</v>
      </c>
      <c r="F26" s="164">
        <f t="shared" si="1"/>
        <v>15</v>
      </c>
      <c r="G26" s="165">
        <f t="shared" si="0"/>
        <v>100</v>
      </c>
    </row>
    <row r="27" spans="1:7" s="155" customFormat="1" ht="19.5" customHeight="1">
      <c r="A27" s="172" t="s">
        <v>952</v>
      </c>
      <c r="B27" s="40" t="s">
        <v>951</v>
      </c>
      <c r="C27" s="171">
        <v>1474.47</v>
      </c>
      <c r="D27" s="171">
        <v>1474.47</v>
      </c>
      <c r="E27" s="171">
        <v>0</v>
      </c>
      <c r="F27" s="164">
        <f t="shared" si="1"/>
        <v>1474.47</v>
      </c>
      <c r="G27" s="165">
        <f t="shared" si="0"/>
        <v>100</v>
      </c>
    </row>
    <row r="28" spans="1:7" s="155" customFormat="1" ht="19.5" customHeight="1">
      <c r="A28" s="172" t="s">
        <v>953</v>
      </c>
      <c r="B28" s="40" t="s">
        <v>954</v>
      </c>
      <c r="C28" s="171">
        <v>2003.5</v>
      </c>
      <c r="D28" s="171">
        <v>2003.5</v>
      </c>
      <c r="E28" s="171">
        <v>0</v>
      </c>
      <c r="F28" s="164">
        <f t="shared" si="1"/>
        <v>2003.5</v>
      </c>
      <c r="G28" s="165">
        <f t="shared" si="0"/>
        <v>100</v>
      </c>
    </row>
    <row r="29" spans="1:7" s="155" customFormat="1" ht="19.5" customHeight="1">
      <c r="A29" s="172" t="s">
        <v>955</v>
      </c>
      <c r="B29" s="40" t="s">
        <v>954</v>
      </c>
      <c r="C29" s="171">
        <v>799</v>
      </c>
      <c r="D29" s="171">
        <v>0</v>
      </c>
      <c r="E29" s="171">
        <v>0</v>
      </c>
      <c r="F29" s="164">
        <f t="shared" si="1"/>
        <v>799</v>
      </c>
      <c r="G29" s="165">
        <f t="shared" si="0"/>
        <v>0</v>
      </c>
    </row>
    <row r="30" spans="1:7" s="155" customFormat="1" ht="19.5" customHeight="1">
      <c r="A30" s="172" t="s">
        <v>956</v>
      </c>
      <c r="B30" s="40" t="s">
        <v>957</v>
      </c>
      <c r="C30" s="171">
        <v>318</v>
      </c>
      <c r="D30" s="171">
        <v>318</v>
      </c>
      <c r="E30" s="171">
        <v>318</v>
      </c>
      <c r="F30" s="164">
        <f t="shared" si="1"/>
        <v>0</v>
      </c>
      <c r="G30" s="165">
        <f t="shared" si="0"/>
        <v>100</v>
      </c>
    </row>
    <row r="31" spans="1:7" s="155" customFormat="1" ht="19.5" customHeight="1">
      <c r="A31" s="172" t="s">
        <v>958</v>
      </c>
      <c r="B31" s="40" t="s">
        <v>951</v>
      </c>
      <c r="C31" s="171">
        <v>68</v>
      </c>
      <c r="D31" s="171">
        <v>68</v>
      </c>
      <c r="E31" s="171">
        <v>58</v>
      </c>
      <c r="F31" s="164">
        <f t="shared" si="1"/>
        <v>10</v>
      </c>
      <c r="G31" s="165">
        <f t="shared" si="0"/>
        <v>100</v>
      </c>
    </row>
    <row r="32" spans="1:7" s="155" customFormat="1" ht="19.5" customHeight="1">
      <c r="A32" s="172" t="s">
        <v>959</v>
      </c>
      <c r="B32" s="40" t="s">
        <v>951</v>
      </c>
      <c r="C32" s="171">
        <v>10</v>
      </c>
      <c r="D32" s="171">
        <v>10</v>
      </c>
      <c r="E32" s="171">
        <v>10</v>
      </c>
      <c r="F32" s="164">
        <f t="shared" si="1"/>
        <v>0</v>
      </c>
      <c r="G32" s="165">
        <f t="shared" si="0"/>
        <v>100</v>
      </c>
    </row>
    <row r="33" spans="1:7" s="155" customFormat="1" ht="19.5" customHeight="1">
      <c r="A33" s="172" t="s">
        <v>960</v>
      </c>
      <c r="B33" s="40" t="s">
        <v>951</v>
      </c>
      <c r="C33" s="171">
        <v>22</v>
      </c>
      <c r="D33" s="171">
        <v>22</v>
      </c>
      <c r="E33" s="171">
        <v>22</v>
      </c>
      <c r="F33" s="164">
        <f t="shared" si="1"/>
        <v>0</v>
      </c>
      <c r="G33" s="165">
        <f t="shared" si="0"/>
        <v>100</v>
      </c>
    </row>
    <row r="34" spans="1:7" s="155" customFormat="1" ht="19.5" customHeight="1">
      <c r="A34" s="172" t="s">
        <v>961</v>
      </c>
      <c r="B34" s="40" t="s">
        <v>951</v>
      </c>
      <c r="C34" s="171">
        <v>1685</v>
      </c>
      <c r="D34" s="171">
        <v>1685</v>
      </c>
      <c r="E34" s="171">
        <v>1685</v>
      </c>
      <c r="F34" s="164">
        <f t="shared" si="1"/>
        <v>0</v>
      </c>
      <c r="G34" s="165">
        <f t="shared" si="0"/>
        <v>100</v>
      </c>
    </row>
    <row r="35" spans="1:7" s="155" customFormat="1" ht="19.5" customHeight="1">
      <c r="A35" s="172" t="s">
        <v>962</v>
      </c>
      <c r="B35" s="40" t="s">
        <v>954</v>
      </c>
      <c r="C35" s="171">
        <v>71.4</v>
      </c>
      <c r="D35" s="171">
        <v>71.4</v>
      </c>
      <c r="E35" s="171">
        <v>71.4</v>
      </c>
      <c r="F35" s="164">
        <f t="shared" si="1"/>
        <v>0</v>
      </c>
      <c r="G35" s="165">
        <f t="shared" si="0"/>
        <v>100</v>
      </c>
    </row>
    <row r="36" spans="1:7" s="155" customFormat="1" ht="19.5" customHeight="1">
      <c r="A36" s="172" t="s">
        <v>963</v>
      </c>
      <c r="B36" s="40" t="s">
        <v>954</v>
      </c>
      <c r="C36" s="171">
        <v>976.01</v>
      </c>
      <c r="D36" s="171">
        <v>976.01</v>
      </c>
      <c r="E36" s="171">
        <v>976.01</v>
      </c>
      <c r="F36" s="164">
        <f t="shared" si="1"/>
        <v>0</v>
      </c>
      <c r="G36" s="165">
        <f t="shared" si="0"/>
        <v>100</v>
      </c>
    </row>
    <row r="37" spans="1:7" s="155" customFormat="1" ht="19.5" customHeight="1">
      <c r="A37" s="172" t="s">
        <v>964</v>
      </c>
      <c r="B37" s="40" t="s">
        <v>965</v>
      </c>
      <c r="C37" s="171">
        <v>286</v>
      </c>
      <c r="D37" s="171">
        <v>286</v>
      </c>
      <c r="E37" s="171">
        <v>271</v>
      </c>
      <c r="F37" s="164">
        <f t="shared" si="1"/>
        <v>15</v>
      </c>
      <c r="G37" s="165">
        <f t="shared" si="0"/>
        <v>100</v>
      </c>
    </row>
    <row r="38" spans="1:7" s="155" customFormat="1" ht="19.5" customHeight="1">
      <c r="A38" s="172" t="s">
        <v>966</v>
      </c>
      <c r="B38" s="40" t="s">
        <v>967</v>
      </c>
      <c r="C38" s="171">
        <v>37.5</v>
      </c>
      <c r="D38" s="171">
        <v>37.5</v>
      </c>
      <c r="E38" s="171">
        <v>37.5</v>
      </c>
      <c r="F38" s="164">
        <f t="shared" si="1"/>
        <v>0</v>
      </c>
      <c r="G38" s="165">
        <f t="shared" si="0"/>
        <v>100</v>
      </c>
    </row>
    <row r="39" spans="1:7" s="155" customFormat="1" ht="19.5" customHeight="1">
      <c r="A39" s="172" t="s">
        <v>968</v>
      </c>
      <c r="B39" s="40" t="s">
        <v>951</v>
      </c>
      <c r="C39" s="171">
        <v>40</v>
      </c>
      <c r="D39" s="171">
        <v>40</v>
      </c>
      <c r="E39" s="171">
        <v>40</v>
      </c>
      <c r="F39" s="164">
        <f t="shared" si="1"/>
        <v>0</v>
      </c>
      <c r="G39" s="165">
        <f t="shared" si="0"/>
        <v>100</v>
      </c>
    </row>
    <row r="40" spans="1:7" s="155" customFormat="1" ht="19.5" customHeight="1">
      <c r="A40" s="172" t="s">
        <v>969</v>
      </c>
      <c r="B40" s="40" t="s">
        <v>951</v>
      </c>
      <c r="C40" s="171">
        <v>150</v>
      </c>
      <c r="D40" s="171">
        <v>150</v>
      </c>
      <c r="E40" s="171">
        <v>150</v>
      </c>
      <c r="F40" s="164">
        <f t="shared" si="1"/>
        <v>0</v>
      </c>
      <c r="G40" s="165">
        <f t="shared" si="0"/>
        <v>100</v>
      </c>
    </row>
    <row r="41" spans="1:7" s="155" customFormat="1" ht="19.5" customHeight="1">
      <c r="A41" s="172" t="s">
        <v>970</v>
      </c>
      <c r="B41" s="40" t="s">
        <v>951</v>
      </c>
      <c r="C41" s="171">
        <v>15</v>
      </c>
      <c r="D41" s="171">
        <v>15</v>
      </c>
      <c r="E41" s="171">
        <v>15</v>
      </c>
      <c r="F41" s="164">
        <f t="shared" si="1"/>
        <v>0</v>
      </c>
      <c r="G41" s="165">
        <f t="shared" si="0"/>
        <v>100</v>
      </c>
    </row>
    <row r="42" spans="1:7" s="155" customFormat="1" ht="19.5" customHeight="1">
      <c r="A42" s="172" t="s">
        <v>971</v>
      </c>
      <c r="B42" s="40" t="s">
        <v>951</v>
      </c>
      <c r="C42" s="171">
        <v>150</v>
      </c>
      <c r="D42" s="171">
        <v>150</v>
      </c>
      <c r="E42" s="171">
        <v>150</v>
      </c>
      <c r="F42" s="164">
        <f t="shared" si="1"/>
        <v>0</v>
      </c>
      <c r="G42" s="165">
        <f t="shared" si="0"/>
        <v>100</v>
      </c>
    </row>
    <row r="43" spans="1:7" s="155" customFormat="1" ht="19.5" customHeight="1">
      <c r="A43" s="172" t="s">
        <v>972</v>
      </c>
      <c r="B43" s="40" t="s">
        <v>951</v>
      </c>
      <c r="C43" s="171">
        <v>10</v>
      </c>
      <c r="D43" s="171">
        <v>10</v>
      </c>
      <c r="E43" s="171">
        <v>10</v>
      </c>
      <c r="F43" s="164">
        <f t="shared" si="1"/>
        <v>0</v>
      </c>
      <c r="G43" s="165">
        <f t="shared" si="0"/>
        <v>100</v>
      </c>
    </row>
    <row r="44" spans="1:7" s="155" customFormat="1" ht="19.5" customHeight="1">
      <c r="A44" s="172" t="s">
        <v>973</v>
      </c>
      <c r="B44" s="40" t="s">
        <v>967</v>
      </c>
      <c r="C44" s="171">
        <v>216</v>
      </c>
      <c r="D44" s="171">
        <v>216</v>
      </c>
      <c r="E44" s="171">
        <v>216</v>
      </c>
      <c r="F44" s="164">
        <f t="shared" si="1"/>
        <v>0</v>
      </c>
      <c r="G44" s="165">
        <f t="shared" si="0"/>
        <v>100</v>
      </c>
    </row>
    <row r="45" spans="1:7" s="155" customFormat="1" ht="19.5" customHeight="1">
      <c r="A45" s="172" t="s">
        <v>974</v>
      </c>
      <c r="B45" s="40" t="s">
        <v>951</v>
      </c>
      <c r="C45" s="171">
        <v>60</v>
      </c>
      <c r="D45" s="171">
        <v>60</v>
      </c>
      <c r="E45" s="171">
        <v>60</v>
      </c>
      <c r="F45" s="164">
        <f t="shared" si="1"/>
        <v>0</v>
      </c>
      <c r="G45" s="165">
        <f t="shared" si="0"/>
        <v>100</v>
      </c>
    </row>
    <row r="46" spans="1:7" s="155" customFormat="1" ht="19.5" customHeight="1">
      <c r="A46" s="172" t="s">
        <v>975</v>
      </c>
      <c r="B46" s="40" t="s">
        <v>951</v>
      </c>
      <c r="C46" s="171">
        <v>175</v>
      </c>
      <c r="D46" s="171">
        <v>175</v>
      </c>
      <c r="E46" s="171">
        <v>175</v>
      </c>
      <c r="F46" s="164">
        <f t="shared" si="1"/>
        <v>0</v>
      </c>
      <c r="G46" s="165">
        <f t="shared" si="0"/>
        <v>100</v>
      </c>
    </row>
    <row r="47" spans="1:7" s="155" customFormat="1" ht="19.5" customHeight="1">
      <c r="A47" s="172" t="s">
        <v>976</v>
      </c>
      <c r="B47" s="40" t="s">
        <v>951</v>
      </c>
      <c r="C47" s="171">
        <v>50</v>
      </c>
      <c r="D47" s="171">
        <v>50</v>
      </c>
      <c r="E47" s="171">
        <v>50</v>
      </c>
      <c r="F47" s="164">
        <f t="shared" si="1"/>
        <v>0</v>
      </c>
      <c r="G47" s="165">
        <f t="shared" si="0"/>
        <v>100</v>
      </c>
    </row>
    <row r="48" spans="1:7" s="155" customFormat="1" ht="19.5" customHeight="1">
      <c r="A48" s="172" t="s">
        <v>977</v>
      </c>
      <c r="B48" s="40" t="s">
        <v>951</v>
      </c>
      <c r="C48" s="171">
        <v>30</v>
      </c>
      <c r="D48" s="171">
        <v>30</v>
      </c>
      <c r="E48" s="171">
        <v>30</v>
      </c>
      <c r="F48" s="164">
        <f t="shared" si="1"/>
        <v>0</v>
      </c>
      <c r="G48" s="165">
        <f t="shared" si="0"/>
        <v>100</v>
      </c>
    </row>
    <row r="49" spans="1:7" s="155" customFormat="1" ht="19.5" customHeight="1">
      <c r="A49" s="172" t="s">
        <v>978</v>
      </c>
      <c r="B49" s="40" t="s">
        <v>951</v>
      </c>
      <c r="C49" s="171">
        <v>20</v>
      </c>
      <c r="D49" s="171">
        <v>20</v>
      </c>
      <c r="E49" s="171">
        <v>20</v>
      </c>
      <c r="F49" s="164">
        <f t="shared" si="1"/>
        <v>0</v>
      </c>
      <c r="G49" s="165">
        <f t="shared" si="0"/>
        <v>100</v>
      </c>
    </row>
    <row r="50" spans="1:7" s="155" customFormat="1" ht="19.5" customHeight="1">
      <c r="A50" s="172" t="s">
        <v>979</v>
      </c>
      <c r="B50" s="40" t="s">
        <v>951</v>
      </c>
      <c r="C50" s="171">
        <v>25</v>
      </c>
      <c r="D50" s="171">
        <v>25</v>
      </c>
      <c r="E50" s="171">
        <v>25</v>
      </c>
      <c r="F50" s="164">
        <f t="shared" si="1"/>
        <v>0</v>
      </c>
      <c r="G50" s="165">
        <f t="shared" si="0"/>
        <v>100</v>
      </c>
    </row>
    <row r="51" spans="1:7" s="155" customFormat="1" ht="19.5" customHeight="1">
      <c r="A51" s="172" t="s">
        <v>980</v>
      </c>
      <c r="B51" s="40" t="s">
        <v>981</v>
      </c>
      <c r="C51" s="171">
        <v>222</v>
      </c>
      <c r="D51" s="171">
        <v>222</v>
      </c>
      <c r="E51" s="171">
        <v>222</v>
      </c>
      <c r="F51" s="164">
        <f t="shared" si="1"/>
        <v>0</v>
      </c>
      <c r="G51" s="165">
        <f t="shared" si="0"/>
        <v>100</v>
      </c>
    </row>
    <row r="52" spans="1:7" s="155" customFormat="1" ht="19.5" customHeight="1">
      <c r="A52" s="172" t="s">
        <v>982</v>
      </c>
      <c r="B52" s="40" t="s">
        <v>983</v>
      </c>
      <c r="C52" s="171">
        <v>250</v>
      </c>
      <c r="D52" s="171">
        <v>250</v>
      </c>
      <c r="E52" s="171">
        <v>228.9</v>
      </c>
      <c r="F52" s="164">
        <f t="shared" si="1"/>
        <v>21.099999999999994</v>
      </c>
      <c r="G52" s="165">
        <f t="shared" si="0"/>
        <v>100</v>
      </c>
    </row>
    <row r="53" spans="1:7" s="155" customFormat="1" ht="19.5" customHeight="1">
      <c r="A53" s="172" t="s">
        <v>984</v>
      </c>
      <c r="B53" s="40" t="s">
        <v>985</v>
      </c>
      <c r="C53" s="171">
        <v>39</v>
      </c>
      <c r="D53" s="171">
        <v>39</v>
      </c>
      <c r="E53" s="171">
        <v>39</v>
      </c>
      <c r="F53" s="164">
        <f t="shared" si="1"/>
        <v>0</v>
      </c>
      <c r="G53" s="165">
        <f t="shared" si="0"/>
        <v>100</v>
      </c>
    </row>
    <row r="54" spans="1:7" s="155" customFormat="1" ht="19.5" customHeight="1">
      <c r="A54" s="172" t="s">
        <v>986</v>
      </c>
      <c r="B54" s="40" t="s">
        <v>987</v>
      </c>
      <c r="C54" s="171">
        <v>582.5</v>
      </c>
      <c r="D54" s="171">
        <v>582.5</v>
      </c>
      <c r="E54" s="171">
        <v>0</v>
      </c>
      <c r="F54" s="164">
        <f t="shared" si="1"/>
        <v>582.5</v>
      </c>
      <c r="G54" s="165">
        <f t="shared" si="0"/>
        <v>100</v>
      </c>
    </row>
    <row r="55" spans="1:7" s="155" customFormat="1" ht="19.5" customHeight="1">
      <c r="A55" s="172" t="s">
        <v>988</v>
      </c>
      <c r="B55" s="40" t="s">
        <v>989</v>
      </c>
      <c r="C55" s="171">
        <v>100</v>
      </c>
      <c r="D55" s="171">
        <v>100</v>
      </c>
      <c r="E55" s="171">
        <v>100</v>
      </c>
      <c r="F55" s="164">
        <f t="shared" si="1"/>
        <v>0</v>
      </c>
      <c r="G55" s="165">
        <f t="shared" si="0"/>
        <v>100</v>
      </c>
    </row>
    <row r="56" spans="1:7" s="155" customFormat="1" ht="19.5" customHeight="1">
      <c r="A56" s="172" t="s">
        <v>990</v>
      </c>
      <c r="B56" s="40" t="s">
        <v>989</v>
      </c>
      <c r="C56" s="171">
        <v>3386</v>
      </c>
      <c r="D56" s="171">
        <v>3386</v>
      </c>
      <c r="E56" s="171">
        <v>3386</v>
      </c>
      <c r="F56" s="164">
        <f t="shared" si="1"/>
        <v>0</v>
      </c>
      <c r="G56" s="165">
        <f t="shared" si="0"/>
        <v>100</v>
      </c>
    </row>
    <row r="57" spans="1:7" s="155" customFormat="1" ht="19.5" customHeight="1">
      <c r="A57" s="172" t="s">
        <v>991</v>
      </c>
      <c r="B57" s="40" t="s">
        <v>989</v>
      </c>
      <c r="C57" s="171">
        <v>4051</v>
      </c>
      <c r="D57" s="171">
        <v>4040.92</v>
      </c>
      <c r="E57" s="171">
        <v>2739.66</v>
      </c>
      <c r="F57" s="164">
        <f t="shared" si="1"/>
        <v>1311.3400000000001</v>
      </c>
      <c r="G57" s="165">
        <f t="shared" si="0"/>
        <v>99.75117254998766</v>
      </c>
    </row>
    <row r="58" spans="1:7" s="155" customFormat="1" ht="19.5" customHeight="1">
      <c r="A58" s="172" t="s">
        <v>984</v>
      </c>
      <c r="B58" s="40" t="s">
        <v>992</v>
      </c>
      <c r="C58" s="171">
        <v>69</v>
      </c>
      <c r="D58" s="171">
        <v>69</v>
      </c>
      <c r="E58" s="171">
        <v>69</v>
      </c>
      <c r="F58" s="164">
        <f t="shared" si="1"/>
        <v>0</v>
      </c>
      <c r="G58" s="165">
        <f t="shared" si="0"/>
        <v>100</v>
      </c>
    </row>
    <row r="59" spans="1:7" s="155" customFormat="1" ht="19.5" customHeight="1">
      <c r="A59" s="172" t="s">
        <v>993</v>
      </c>
      <c r="B59" s="40" t="s">
        <v>983</v>
      </c>
      <c r="C59" s="171">
        <v>71.6</v>
      </c>
      <c r="D59" s="171">
        <v>71.6</v>
      </c>
      <c r="E59" s="171">
        <v>29.6</v>
      </c>
      <c r="F59" s="164">
        <f t="shared" si="1"/>
        <v>41.99999999999999</v>
      </c>
      <c r="G59" s="165">
        <f t="shared" si="0"/>
        <v>100</v>
      </c>
    </row>
    <row r="60" spans="1:7" s="155" customFormat="1" ht="19.5" customHeight="1">
      <c r="A60" s="172" t="s">
        <v>994</v>
      </c>
      <c r="B60" s="40" t="s">
        <v>995</v>
      </c>
      <c r="C60" s="171">
        <v>112</v>
      </c>
      <c r="D60" s="171">
        <v>112</v>
      </c>
      <c r="E60" s="171">
        <v>112</v>
      </c>
      <c r="F60" s="164">
        <f t="shared" si="1"/>
        <v>0</v>
      </c>
      <c r="G60" s="165">
        <f t="shared" si="0"/>
        <v>100</v>
      </c>
    </row>
    <row r="61" spans="1:7" s="155" customFormat="1" ht="19.5" customHeight="1">
      <c r="A61" s="172" t="s">
        <v>996</v>
      </c>
      <c r="B61" s="40" t="s">
        <v>997</v>
      </c>
      <c r="C61" s="171">
        <v>867.7</v>
      </c>
      <c r="D61" s="171">
        <v>867.7</v>
      </c>
      <c r="E61" s="171">
        <v>0</v>
      </c>
      <c r="F61" s="164">
        <f t="shared" si="1"/>
        <v>867.7</v>
      </c>
      <c r="G61" s="165">
        <f t="shared" si="0"/>
        <v>100</v>
      </c>
    </row>
    <row r="62" spans="1:7" s="155" customFormat="1" ht="19.5" customHeight="1">
      <c r="A62" s="172" t="s">
        <v>998</v>
      </c>
      <c r="B62" s="40" t="s">
        <v>999</v>
      </c>
      <c r="C62" s="171">
        <v>137.33</v>
      </c>
      <c r="D62" s="171">
        <v>32</v>
      </c>
      <c r="E62" s="171">
        <v>32</v>
      </c>
      <c r="F62" s="164">
        <f t="shared" si="1"/>
        <v>105.33000000000001</v>
      </c>
      <c r="G62" s="165">
        <f t="shared" si="0"/>
        <v>23.30153644505934</v>
      </c>
    </row>
    <row r="63" spans="1:7" s="155" customFormat="1" ht="19.5" customHeight="1">
      <c r="A63" s="172" t="s">
        <v>998</v>
      </c>
      <c r="B63" s="40" t="s">
        <v>1000</v>
      </c>
      <c r="C63" s="171">
        <v>1360.27</v>
      </c>
      <c r="D63" s="171">
        <v>874.5</v>
      </c>
      <c r="E63" s="171">
        <v>874.5</v>
      </c>
      <c r="F63" s="164">
        <f t="shared" si="1"/>
        <v>485.77</v>
      </c>
      <c r="G63" s="165">
        <f t="shared" si="0"/>
        <v>64.28870738897426</v>
      </c>
    </row>
    <row r="64" spans="1:7" s="155" customFormat="1" ht="19.5" customHeight="1">
      <c r="A64" s="172" t="s">
        <v>998</v>
      </c>
      <c r="B64" s="40" t="s">
        <v>1001</v>
      </c>
      <c r="C64" s="171">
        <v>220.33</v>
      </c>
      <c r="D64" s="171">
        <v>0</v>
      </c>
      <c r="E64" s="171">
        <v>0</v>
      </c>
      <c r="F64" s="164">
        <f t="shared" si="1"/>
        <v>220.33</v>
      </c>
      <c r="G64" s="165">
        <f t="shared" si="0"/>
        <v>0</v>
      </c>
    </row>
    <row r="65" spans="1:7" s="155" customFormat="1" ht="19.5" customHeight="1">
      <c r="A65" s="172" t="s">
        <v>998</v>
      </c>
      <c r="B65" s="40" t="s">
        <v>1002</v>
      </c>
      <c r="C65" s="171">
        <v>82.37</v>
      </c>
      <c r="D65" s="171">
        <v>20</v>
      </c>
      <c r="E65" s="171">
        <v>20</v>
      </c>
      <c r="F65" s="164">
        <f t="shared" si="1"/>
        <v>62.370000000000005</v>
      </c>
      <c r="G65" s="165">
        <f t="shared" si="0"/>
        <v>24.28068471530897</v>
      </c>
    </row>
    <row r="66" spans="1:7" s="155" customFormat="1" ht="19.5" customHeight="1">
      <c r="A66" s="172" t="s">
        <v>998</v>
      </c>
      <c r="B66" s="40" t="s">
        <v>1003</v>
      </c>
      <c r="C66" s="171">
        <v>18.33</v>
      </c>
      <c r="D66" s="171">
        <v>0</v>
      </c>
      <c r="E66" s="171">
        <v>0</v>
      </c>
      <c r="F66" s="164">
        <f t="shared" si="1"/>
        <v>18.33</v>
      </c>
      <c r="G66" s="165">
        <f t="shared" si="0"/>
        <v>0</v>
      </c>
    </row>
    <row r="67" spans="1:7" s="155" customFormat="1" ht="19.5" customHeight="1">
      <c r="A67" s="172" t="s">
        <v>998</v>
      </c>
      <c r="B67" s="40" t="s">
        <v>1000</v>
      </c>
      <c r="C67" s="171">
        <v>757.37</v>
      </c>
      <c r="D67" s="171">
        <v>167</v>
      </c>
      <c r="E67" s="171">
        <v>167</v>
      </c>
      <c r="F67" s="164">
        <f t="shared" si="1"/>
        <v>590.37</v>
      </c>
      <c r="G67" s="165">
        <f t="shared" si="0"/>
        <v>22.04998877695182</v>
      </c>
    </row>
    <row r="68" spans="1:7" s="155" customFormat="1" ht="19.5" customHeight="1">
      <c r="A68" s="172" t="s">
        <v>998</v>
      </c>
      <c r="B68" s="40" t="s">
        <v>1004</v>
      </c>
      <c r="C68" s="171">
        <v>6.8</v>
      </c>
      <c r="D68" s="171">
        <v>0</v>
      </c>
      <c r="E68" s="171">
        <v>0</v>
      </c>
      <c r="F68" s="164">
        <f t="shared" si="1"/>
        <v>6.8</v>
      </c>
      <c r="G68" s="165">
        <f t="shared" si="0"/>
        <v>0</v>
      </c>
    </row>
    <row r="69" spans="1:7" s="155" customFormat="1" ht="19.5" customHeight="1">
      <c r="A69" s="172" t="s">
        <v>998</v>
      </c>
      <c r="B69" s="40" t="s">
        <v>1001</v>
      </c>
      <c r="C69" s="171">
        <v>21.69</v>
      </c>
      <c r="D69" s="171">
        <v>0</v>
      </c>
      <c r="E69" s="171">
        <v>0</v>
      </c>
      <c r="F69" s="164">
        <f t="shared" si="1"/>
        <v>21.69</v>
      </c>
      <c r="G69" s="165">
        <f t="shared" si="0"/>
        <v>0</v>
      </c>
    </row>
    <row r="70" spans="1:7" s="155" customFormat="1" ht="19.5" customHeight="1">
      <c r="A70" s="172" t="s">
        <v>998</v>
      </c>
      <c r="B70" s="40" t="s">
        <v>1005</v>
      </c>
      <c r="C70" s="171">
        <v>256.43</v>
      </c>
      <c r="D70" s="171">
        <v>0</v>
      </c>
      <c r="E70" s="171">
        <v>0</v>
      </c>
      <c r="F70" s="164">
        <f t="shared" si="1"/>
        <v>256.43</v>
      </c>
      <c r="G70" s="165">
        <f aca="true" t="shared" si="2" ref="G70:G133">D70/C70*100</f>
        <v>0</v>
      </c>
    </row>
    <row r="71" spans="1:7" s="155" customFormat="1" ht="19.5" customHeight="1">
      <c r="A71" s="172" t="s">
        <v>998</v>
      </c>
      <c r="B71" s="40" t="s">
        <v>1006</v>
      </c>
      <c r="C71" s="171">
        <v>22.93</v>
      </c>
      <c r="D71" s="171">
        <v>6.5</v>
      </c>
      <c r="E71" s="171">
        <v>6.5</v>
      </c>
      <c r="F71" s="164">
        <f t="shared" si="1"/>
        <v>16.43</v>
      </c>
      <c r="G71" s="165">
        <f t="shared" si="2"/>
        <v>28.347143480157</v>
      </c>
    </row>
    <row r="72" spans="1:7" s="155" customFormat="1" ht="19.5" customHeight="1">
      <c r="A72" s="172" t="s">
        <v>998</v>
      </c>
      <c r="B72" s="40" t="s">
        <v>1000</v>
      </c>
      <c r="C72" s="171">
        <v>1417.18</v>
      </c>
      <c r="D72" s="171">
        <v>1101.04</v>
      </c>
      <c r="E72" s="171">
        <v>1101.04</v>
      </c>
      <c r="F72" s="164">
        <f t="shared" si="1"/>
        <v>316.1400000000001</v>
      </c>
      <c r="G72" s="165">
        <f t="shared" si="2"/>
        <v>77.69231854810256</v>
      </c>
    </row>
    <row r="73" spans="1:7" s="155" customFormat="1" ht="19.5" customHeight="1">
      <c r="A73" s="172" t="s">
        <v>1007</v>
      </c>
      <c r="B73" s="40" t="s">
        <v>997</v>
      </c>
      <c r="C73" s="171">
        <v>175.7</v>
      </c>
      <c r="D73" s="171">
        <v>175.7</v>
      </c>
      <c r="E73" s="171">
        <v>90.09</v>
      </c>
      <c r="F73" s="164">
        <f t="shared" si="1"/>
        <v>85.60999999999999</v>
      </c>
      <c r="G73" s="165">
        <f t="shared" si="2"/>
        <v>100</v>
      </c>
    </row>
    <row r="74" spans="1:7" s="155" customFormat="1" ht="19.5" customHeight="1">
      <c r="A74" s="172" t="s">
        <v>1008</v>
      </c>
      <c r="B74" s="40" t="s">
        <v>1009</v>
      </c>
      <c r="C74" s="171">
        <v>40.57</v>
      </c>
      <c r="D74" s="171">
        <v>40.57</v>
      </c>
      <c r="E74" s="171">
        <v>40.57</v>
      </c>
      <c r="F74" s="164">
        <f t="shared" si="1"/>
        <v>0</v>
      </c>
      <c r="G74" s="165">
        <f t="shared" si="2"/>
        <v>100</v>
      </c>
    </row>
    <row r="75" spans="1:7" s="155" customFormat="1" ht="19.5" customHeight="1">
      <c r="A75" s="172" t="s">
        <v>1010</v>
      </c>
      <c r="B75" s="40" t="s">
        <v>985</v>
      </c>
      <c r="C75" s="171">
        <v>443.6</v>
      </c>
      <c r="D75" s="171">
        <v>443.6</v>
      </c>
      <c r="E75" s="171">
        <v>0</v>
      </c>
      <c r="F75" s="164">
        <f aca="true" t="shared" si="3" ref="F75:F138">C75-E75</f>
        <v>443.6</v>
      </c>
      <c r="G75" s="165">
        <f t="shared" si="2"/>
        <v>100</v>
      </c>
    </row>
    <row r="76" spans="1:7" s="155" customFormat="1" ht="19.5" customHeight="1">
      <c r="A76" s="172" t="s">
        <v>1010</v>
      </c>
      <c r="B76" s="40" t="s">
        <v>1011</v>
      </c>
      <c r="C76" s="171">
        <v>62.1</v>
      </c>
      <c r="D76" s="171">
        <v>0</v>
      </c>
      <c r="E76" s="171">
        <v>0</v>
      </c>
      <c r="F76" s="164">
        <f t="shared" si="3"/>
        <v>62.1</v>
      </c>
      <c r="G76" s="165">
        <f t="shared" si="2"/>
        <v>0</v>
      </c>
    </row>
    <row r="77" spans="1:7" s="155" customFormat="1" ht="19.5" customHeight="1">
      <c r="A77" s="172" t="s">
        <v>1010</v>
      </c>
      <c r="B77" s="40" t="s">
        <v>992</v>
      </c>
      <c r="C77" s="171">
        <v>1103.9</v>
      </c>
      <c r="D77" s="171">
        <v>1103.9</v>
      </c>
      <c r="E77" s="171">
        <v>0</v>
      </c>
      <c r="F77" s="164">
        <f t="shared" si="3"/>
        <v>1103.9</v>
      </c>
      <c r="G77" s="165">
        <f t="shared" si="2"/>
        <v>100</v>
      </c>
    </row>
    <row r="78" spans="1:7" s="155" customFormat="1" ht="19.5" customHeight="1">
      <c r="A78" s="172" t="s">
        <v>1012</v>
      </c>
      <c r="B78" s="40" t="s">
        <v>983</v>
      </c>
      <c r="C78" s="171">
        <v>50</v>
      </c>
      <c r="D78" s="171">
        <v>50</v>
      </c>
      <c r="E78" s="171">
        <v>0</v>
      </c>
      <c r="F78" s="164">
        <f t="shared" si="3"/>
        <v>50</v>
      </c>
      <c r="G78" s="165">
        <f t="shared" si="2"/>
        <v>100</v>
      </c>
    </row>
    <row r="79" spans="1:7" s="155" customFormat="1" ht="19.5" customHeight="1">
      <c r="A79" s="172" t="s">
        <v>1013</v>
      </c>
      <c r="B79" s="40" t="s">
        <v>983</v>
      </c>
      <c r="C79" s="171">
        <v>200</v>
      </c>
      <c r="D79" s="171">
        <v>200</v>
      </c>
      <c r="E79" s="171">
        <v>0</v>
      </c>
      <c r="F79" s="164">
        <f t="shared" si="3"/>
        <v>200</v>
      </c>
      <c r="G79" s="165">
        <f t="shared" si="2"/>
        <v>100</v>
      </c>
    </row>
    <row r="80" spans="1:7" s="155" customFormat="1" ht="19.5" customHeight="1">
      <c r="A80" s="172" t="s">
        <v>1014</v>
      </c>
      <c r="B80" s="40" t="s">
        <v>989</v>
      </c>
      <c r="C80" s="171">
        <v>970</v>
      </c>
      <c r="D80" s="171">
        <v>0</v>
      </c>
      <c r="E80" s="171">
        <v>0</v>
      </c>
      <c r="F80" s="164">
        <f t="shared" si="3"/>
        <v>970</v>
      </c>
      <c r="G80" s="165">
        <f t="shared" si="2"/>
        <v>0</v>
      </c>
    </row>
    <row r="81" spans="1:7" s="155" customFormat="1" ht="19.5" customHeight="1">
      <c r="A81" s="172" t="s">
        <v>1015</v>
      </c>
      <c r="B81" s="40" t="s">
        <v>1016</v>
      </c>
      <c r="C81" s="171">
        <v>15</v>
      </c>
      <c r="D81" s="171">
        <v>15</v>
      </c>
      <c r="E81" s="171">
        <v>15</v>
      </c>
      <c r="F81" s="164">
        <f t="shared" si="3"/>
        <v>0</v>
      </c>
      <c r="G81" s="165">
        <f t="shared" si="2"/>
        <v>100</v>
      </c>
    </row>
    <row r="82" spans="1:7" s="155" customFormat="1" ht="19.5" customHeight="1">
      <c r="A82" s="172" t="s">
        <v>1017</v>
      </c>
      <c r="B82" s="40" t="s">
        <v>1018</v>
      </c>
      <c r="C82" s="171">
        <v>847.5</v>
      </c>
      <c r="D82" s="171">
        <v>847.5</v>
      </c>
      <c r="E82" s="171">
        <v>847.5</v>
      </c>
      <c r="F82" s="164">
        <f t="shared" si="3"/>
        <v>0</v>
      </c>
      <c r="G82" s="165">
        <f t="shared" si="2"/>
        <v>100</v>
      </c>
    </row>
    <row r="83" spans="1:7" s="155" customFormat="1" ht="19.5" customHeight="1">
      <c r="A83" s="172" t="s">
        <v>1019</v>
      </c>
      <c r="B83" s="40" t="s">
        <v>987</v>
      </c>
      <c r="C83" s="171">
        <v>283.2</v>
      </c>
      <c r="D83" s="171">
        <v>283.2</v>
      </c>
      <c r="E83" s="171">
        <v>283.2</v>
      </c>
      <c r="F83" s="164">
        <f t="shared" si="3"/>
        <v>0</v>
      </c>
      <c r="G83" s="165">
        <f t="shared" si="2"/>
        <v>100</v>
      </c>
    </row>
    <row r="84" spans="1:7" s="155" customFormat="1" ht="19.5" customHeight="1">
      <c r="A84" s="172" t="s">
        <v>1020</v>
      </c>
      <c r="B84" s="40" t="s">
        <v>1021</v>
      </c>
      <c r="C84" s="171">
        <v>20</v>
      </c>
      <c r="D84" s="171">
        <v>20</v>
      </c>
      <c r="E84" s="171">
        <v>0</v>
      </c>
      <c r="F84" s="164">
        <f t="shared" si="3"/>
        <v>20</v>
      </c>
      <c r="G84" s="165">
        <f t="shared" si="2"/>
        <v>100</v>
      </c>
    </row>
    <row r="85" spans="1:7" s="155" customFormat="1" ht="19.5" customHeight="1">
      <c r="A85" s="172" t="s">
        <v>1022</v>
      </c>
      <c r="B85" s="40" t="s">
        <v>997</v>
      </c>
      <c r="C85" s="171">
        <v>256.72</v>
      </c>
      <c r="D85" s="171">
        <v>256.72</v>
      </c>
      <c r="E85" s="171">
        <v>0</v>
      </c>
      <c r="F85" s="164">
        <f t="shared" si="3"/>
        <v>256.72</v>
      </c>
      <c r="G85" s="165">
        <f t="shared" si="2"/>
        <v>100</v>
      </c>
    </row>
    <row r="86" spans="1:7" s="155" customFormat="1" ht="19.5" customHeight="1">
      <c r="A86" s="172" t="s">
        <v>1023</v>
      </c>
      <c r="B86" s="40" t="s">
        <v>1024</v>
      </c>
      <c r="C86" s="171">
        <v>136.12</v>
      </c>
      <c r="D86" s="171">
        <v>136.12</v>
      </c>
      <c r="E86" s="171">
        <v>0</v>
      </c>
      <c r="F86" s="164">
        <f t="shared" si="3"/>
        <v>136.12</v>
      </c>
      <c r="G86" s="165">
        <f t="shared" si="2"/>
        <v>100</v>
      </c>
    </row>
    <row r="87" spans="1:7" s="155" customFormat="1" ht="19.5" customHeight="1">
      <c r="A87" s="172" t="s">
        <v>1025</v>
      </c>
      <c r="B87" s="40" t="s">
        <v>1024</v>
      </c>
      <c r="C87" s="171">
        <v>81.58</v>
      </c>
      <c r="D87" s="171">
        <v>81.58</v>
      </c>
      <c r="E87" s="171">
        <v>0</v>
      </c>
      <c r="F87" s="164">
        <f t="shared" si="3"/>
        <v>81.58</v>
      </c>
      <c r="G87" s="165">
        <f t="shared" si="2"/>
        <v>100</v>
      </c>
    </row>
    <row r="88" spans="1:7" s="155" customFormat="1" ht="19.5" customHeight="1">
      <c r="A88" s="172" t="s">
        <v>1026</v>
      </c>
      <c r="B88" s="40" t="s">
        <v>1027</v>
      </c>
      <c r="C88" s="171">
        <v>3.2</v>
      </c>
      <c r="D88" s="171">
        <v>3.2</v>
      </c>
      <c r="E88" s="171">
        <v>3.2</v>
      </c>
      <c r="F88" s="164">
        <f t="shared" si="3"/>
        <v>0</v>
      </c>
      <c r="G88" s="165">
        <f t="shared" si="2"/>
        <v>100</v>
      </c>
    </row>
    <row r="89" spans="1:7" s="155" customFormat="1" ht="19.5" customHeight="1">
      <c r="A89" s="172" t="s">
        <v>1028</v>
      </c>
      <c r="B89" s="40" t="s">
        <v>1027</v>
      </c>
      <c r="C89" s="171">
        <v>657</v>
      </c>
      <c r="D89" s="171">
        <v>207</v>
      </c>
      <c r="E89" s="171">
        <v>49.92</v>
      </c>
      <c r="F89" s="164">
        <f t="shared" si="3"/>
        <v>607.08</v>
      </c>
      <c r="G89" s="165">
        <f t="shared" si="2"/>
        <v>31.506849315068493</v>
      </c>
    </row>
    <row r="90" spans="1:7" s="155" customFormat="1" ht="19.5" customHeight="1">
      <c r="A90" s="172" t="s">
        <v>1029</v>
      </c>
      <c r="B90" s="40" t="s">
        <v>1030</v>
      </c>
      <c r="C90" s="171">
        <v>110</v>
      </c>
      <c r="D90" s="171">
        <v>110</v>
      </c>
      <c r="E90" s="171">
        <v>53.99</v>
      </c>
      <c r="F90" s="164">
        <f t="shared" si="3"/>
        <v>56.01</v>
      </c>
      <c r="G90" s="165">
        <f t="shared" si="2"/>
        <v>100</v>
      </c>
    </row>
    <row r="91" spans="1:7" s="155" customFormat="1" ht="19.5" customHeight="1">
      <c r="A91" s="172" t="s">
        <v>1031</v>
      </c>
      <c r="B91" s="40" t="s">
        <v>1032</v>
      </c>
      <c r="C91" s="171">
        <v>48</v>
      </c>
      <c r="D91" s="171">
        <v>48</v>
      </c>
      <c r="E91" s="171">
        <v>48</v>
      </c>
      <c r="F91" s="164">
        <f t="shared" si="3"/>
        <v>0</v>
      </c>
      <c r="G91" s="165">
        <f t="shared" si="2"/>
        <v>100</v>
      </c>
    </row>
    <row r="92" spans="1:7" s="155" customFormat="1" ht="19.5" customHeight="1">
      <c r="A92" s="172" t="s">
        <v>1033</v>
      </c>
      <c r="B92" s="40" t="s">
        <v>1034</v>
      </c>
      <c r="C92" s="171">
        <v>12</v>
      </c>
      <c r="D92" s="171">
        <v>12</v>
      </c>
      <c r="E92" s="171">
        <v>11.96</v>
      </c>
      <c r="F92" s="164">
        <f t="shared" si="3"/>
        <v>0.03999999999999915</v>
      </c>
      <c r="G92" s="165">
        <f t="shared" si="2"/>
        <v>100</v>
      </c>
    </row>
    <row r="93" spans="1:7" s="155" customFormat="1" ht="19.5" customHeight="1">
      <c r="A93" s="172" t="s">
        <v>1035</v>
      </c>
      <c r="B93" s="40" t="s">
        <v>1034</v>
      </c>
      <c r="C93" s="171">
        <v>10</v>
      </c>
      <c r="D93" s="171">
        <v>10</v>
      </c>
      <c r="E93" s="171">
        <v>0</v>
      </c>
      <c r="F93" s="164">
        <f t="shared" si="3"/>
        <v>10</v>
      </c>
      <c r="G93" s="165">
        <f t="shared" si="2"/>
        <v>100</v>
      </c>
    </row>
    <row r="94" spans="1:7" s="155" customFormat="1" ht="19.5" customHeight="1">
      <c r="A94" s="172" t="s">
        <v>1036</v>
      </c>
      <c r="B94" s="40" t="s">
        <v>1037</v>
      </c>
      <c r="C94" s="171">
        <v>3</v>
      </c>
      <c r="D94" s="171">
        <v>3</v>
      </c>
      <c r="E94" s="171">
        <v>2.18</v>
      </c>
      <c r="F94" s="164">
        <f t="shared" si="3"/>
        <v>0.8199999999999998</v>
      </c>
      <c r="G94" s="165">
        <f t="shared" si="2"/>
        <v>100</v>
      </c>
    </row>
    <row r="95" spans="1:7" s="155" customFormat="1" ht="19.5" customHeight="1">
      <c r="A95" s="172" t="s">
        <v>1038</v>
      </c>
      <c r="B95" s="40" t="s">
        <v>1037</v>
      </c>
      <c r="C95" s="171">
        <v>30.3</v>
      </c>
      <c r="D95" s="171">
        <v>30.3</v>
      </c>
      <c r="E95" s="171">
        <v>30.3</v>
      </c>
      <c r="F95" s="164">
        <f t="shared" si="3"/>
        <v>0</v>
      </c>
      <c r="G95" s="165">
        <f t="shared" si="2"/>
        <v>100</v>
      </c>
    </row>
    <row r="96" spans="1:7" s="155" customFormat="1" ht="19.5" customHeight="1">
      <c r="A96" s="172" t="s">
        <v>1039</v>
      </c>
      <c r="B96" s="40" t="s">
        <v>1040</v>
      </c>
      <c r="C96" s="171">
        <v>600</v>
      </c>
      <c r="D96" s="171">
        <v>600</v>
      </c>
      <c r="E96" s="171">
        <v>600</v>
      </c>
      <c r="F96" s="164">
        <f t="shared" si="3"/>
        <v>0</v>
      </c>
      <c r="G96" s="165">
        <f t="shared" si="2"/>
        <v>100</v>
      </c>
    </row>
    <row r="97" spans="1:7" s="155" customFormat="1" ht="19.5" customHeight="1">
      <c r="A97" s="172" t="s">
        <v>1041</v>
      </c>
      <c r="B97" s="40" t="s">
        <v>1042</v>
      </c>
      <c r="C97" s="171">
        <v>55</v>
      </c>
      <c r="D97" s="171">
        <v>55</v>
      </c>
      <c r="E97" s="171">
        <v>55</v>
      </c>
      <c r="F97" s="164">
        <f t="shared" si="3"/>
        <v>0</v>
      </c>
      <c r="G97" s="165">
        <f t="shared" si="2"/>
        <v>100</v>
      </c>
    </row>
    <row r="98" spans="1:7" s="155" customFormat="1" ht="19.5" customHeight="1">
      <c r="A98" s="172" t="s">
        <v>1043</v>
      </c>
      <c r="B98" s="40" t="s">
        <v>1037</v>
      </c>
      <c r="C98" s="171">
        <v>11</v>
      </c>
      <c r="D98" s="171">
        <v>11</v>
      </c>
      <c r="E98" s="171">
        <v>3.4</v>
      </c>
      <c r="F98" s="164">
        <f t="shared" si="3"/>
        <v>7.6</v>
      </c>
      <c r="G98" s="165">
        <f t="shared" si="2"/>
        <v>100</v>
      </c>
    </row>
    <row r="99" spans="1:7" s="155" customFormat="1" ht="19.5" customHeight="1">
      <c r="A99" s="172" t="s">
        <v>1044</v>
      </c>
      <c r="B99" s="40" t="s">
        <v>1034</v>
      </c>
      <c r="C99" s="171">
        <v>83.8</v>
      </c>
      <c r="D99" s="171">
        <v>83.8</v>
      </c>
      <c r="E99" s="171">
        <v>83.8</v>
      </c>
      <c r="F99" s="164">
        <f t="shared" si="3"/>
        <v>0</v>
      </c>
      <c r="G99" s="165">
        <f t="shared" si="2"/>
        <v>100</v>
      </c>
    </row>
    <row r="100" spans="1:7" s="155" customFormat="1" ht="19.5" customHeight="1">
      <c r="A100" s="172" t="s">
        <v>1045</v>
      </c>
      <c r="B100" s="40" t="s">
        <v>1030</v>
      </c>
      <c r="C100" s="171">
        <v>39</v>
      </c>
      <c r="D100" s="171">
        <v>39</v>
      </c>
      <c r="E100" s="171">
        <v>0</v>
      </c>
      <c r="F100" s="164">
        <f t="shared" si="3"/>
        <v>39</v>
      </c>
      <c r="G100" s="165">
        <f t="shared" si="2"/>
        <v>100</v>
      </c>
    </row>
    <row r="101" spans="1:7" s="155" customFormat="1" ht="19.5" customHeight="1">
      <c r="A101" s="172" t="s">
        <v>1046</v>
      </c>
      <c r="B101" s="40" t="s">
        <v>1034</v>
      </c>
      <c r="C101" s="171">
        <v>120</v>
      </c>
      <c r="D101" s="171">
        <v>120</v>
      </c>
      <c r="E101" s="171">
        <v>50</v>
      </c>
      <c r="F101" s="164">
        <f t="shared" si="3"/>
        <v>70</v>
      </c>
      <c r="G101" s="165">
        <f t="shared" si="2"/>
        <v>100</v>
      </c>
    </row>
    <row r="102" spans="1:7" s="155" customFormat="1" ht="19.5" customHeight="1">
      <c r="A102" s="172" t="s">
        <v>1047</v>
      </c>
      <c r="B102" s="40" t="s">
        <v>1027</v>
      </c>
      <c r="C102" s="171">
        <v>116.6</v>
      </c>
      <c r="D102" s="171">
        <v>116.6</v>
      </c>
      <c r="E102" s="171">
        <v>92</v>
      </c>
      <c r="F102" s="164">
        <f t="shared" si="3"/>
        <v>24.599999999999994</v>
      </c>
      <c r="G102" s="165">
        <f t="shared" si="2"/>
        <v>100</v>
      </c>
    </row>
    <row r="103" spans="1:7" s="155" customFormat="1" ht="19.5" customHeight="1">
      <c r="A103" s="172" t="s">
        <v>1048</v>
      </c>
      <c r="B103" s="40" t="s">
        <v>1027</v>
      </c>
      <c r="C103" s="171">
        <v>9.5</v>
      </c>
      <c r="D103" s="171">
        <v>0</v>
      </c>
      <c r="E103" s="171">
        <v>0</v>
      </c>
      <c r="F103" s="164">
        <f t="shared" si="3"/>
        <v>9.5</v>
      </c>
      <c r="G103" s="165">
        <f t="shared" si="2"/>
        <v>0</v>
      </c>
    </row>
    <row r="104" spans="1:7" s="155" customFormat="1" ht="19.5" customHeight="1">
      <c r="A104" s="172" t="s">
        <v>1049</v>
      </c>
      <c r="B104" s="40" t="s">
        <v>1050</v>
      </c>
      <c r="C104" s="171">
        <v>70</v>
      </c>
      <c r="D104" s="171">
        <v>70</v>
      </c>
      <c r="E104" s="171">
        <v>0</v>
      </c>
      <c r="F104" s="164">
        <f t="shared" si="3"/>
        <v>70</v>
      </c>
      <c r="G104" s="165">
        <f t="shared" si="2"/>
        <v>100</v>
      </c>
    </row>
    <row r="105" spans="1:7" s="155" customFormat="1" ht="19.5" customHeight="1">
      <c r="A105" s="172" t="s">
        <v>1049</v>
      </c>
      <c r="B105" s="40" t="s">
        <v>1051</v>
      </c>
      <c r="C105" s="171">
        <v>2229</v>
      </c>
      <c r="D105" s="171">
        <v>2229</v>
      </c>
      <c r="E105" s="171">
        <v>0</v>
      </c>
      <c r="F105" s="164">
        <f t="shared" si="3"/>
        <v>2229</v>
      </c>
      <c r="G105" s="165">
        <f t="shared" si="2"/>
        <v>100</v>
      </c>
    </row>
    <row r="106" spans="1:7" s="155" customFormat="1" ht="19.5" customHeight="1">
      <c r="A106" s="172" t="s">
        <v>1049</v>
      </c>
      <c r="B106" s="40" t="s">
        <v>1052</v>
      </c>
      <c r="C106" s="171">
        <v>81.7</v>
      </c>
      <c r="D106" s="171">
        <v>81.7</v>
      </c>
      <c r="E106" s="171">
        <v>0</v>
      </c>
      <c r="F106" s="164">
        <f t="shared" si="3"/>
        <v>81.7</v>
      </c>
      <c r="G106" s="165">
        <f t="shared" si="2"/>
        <v>100</v>
      </c>
    </row>
    <row r="107" spans="1:7" s="155" customFormat="1" ht="19.5" customHeight="1">
      <c r="A107" s="172" t="s">
        <v>1049</v>
      </c>
      <c r="B107" s="40" t="s">
        <v>1053</v>
      </c>
      <c r="C107" s="171">
        <v>15</v>
      </c>
      <c r="D107" s="171">
        <v>15</v>
      </c>
      <c r="E107" s="171">
        <v>0</v>
      </c>
      <c r="F107" s="164">
        <f t="shared" si="3"/>
        <v>15</v>
      </c>
      <c r="G107" s="165">
        <f t="shared" si="2"/>
        <v>100</v>
      </c>
    </row>
    <row r="108" spans="1:7" s="155" customFormat="1" ht="19.5" customHeight="1">
      <c r="A108" s="172" t="s">
        <v>1049</v>
      </c>
      <c r="B108" s="40" t="s">
        <v>1054</v>
      </c>
      <c r="C108" s="171">
        <v>1093</v>
      </c>
      <c r="D108" s="171">
        <v>1093</v>
      </c>
      <c r="E108" s="171">
        <v>0</v>
      </c>
      <c r="F108" s="164">
        <f t="shared" si="3"/>
        <v>1093</v>
      </c>
      <c r="G108" s="165">
        <f t="shared" si="2"/>
        <v>100</v>
      </c>
    </row>
    <row r="109" spans="1:7" s="155" customFormat="1" ht="19.5" customHeight="1">
      <c r="A109" s="172" t="s">
        <v>1055</v>
      </c>
      <c r="B109" s="40" t="s">
        <v>1037</v>
      </c>
      <c r="C109" s="171">
        <v>44.4</v>
      </c>
      <c r="D109" s="171">
        <v>44.4</v>
      </c>
      <c r="E109" s="171">
        <v>44.4</v>
      </c>
      <c r="F109" s="164">
        <f t="shared" si="3"/>
        <v>0</v>
      </c>
      <c r="G109" s="165">
        <f t="shared" si="2"/>
        <v>100</v>
      </c>
    </row>
    <row r="110" spans="1:7" s="155" customFormat="1" ht="19.5" customHeight="1">
      <c r="A110" s="172" t="s">
        <v>1055</v>
      </c>
      <c r="B110" s="40" t="s">
        <v>1054</v>
      </c>
      <c r="C110" s="171">
        <v>75</v>
      </c>
      <c r="D110" s="171">
        <v>75</v>
      </c>
      <c r="E110" s="171">
        <v>50</v>
      </c>
      <c r="F110" s="164">
        <f t="shared" si="3"/>
        <v>25</v>
      </c>
      <c r="G110" s="165">
        <f t="shared" si="2"/>
        <v>100</v>
      </c>
    </row>
    <row r="111" spans="1:7" s="155" customFormat="1" ht="19.5" customHeight="1">
      <c r="A111" s="172" t="s">
        <v>1056</v>
      </c>
      <c r="B111" s="40" t="s">
        <v>1037</v>
      </c>
      <c r="C111" s="171">
        <v>7</v>
      </c>
      <c r="D111" s="171">
        <v>7</v>
      </c>
      <c r="E111" s="171">
        <v>6.91</v>
      </c>
      <c r="F111" s="164">
        <f t="shared" si="3"/>
        <v>0.08999999999999986</v>
      </c>
      <c r="G111" s="165">
        <f t="shared" si="2"/>
        <v>100</v>
      </c>
    </row>
    <row r="112" spans="1:7" s="155" customFormat="1" ht="19.5" customHeight="1">
      <c r="A112" s="172" t="s">
        <v>1057</v>
      </c>
      <c r="B112" s="40" t="s">
        <v>1058</v>
      </c>
      <c r="C112" s="171">
        <v>5</v>
      </c>
      <c r="D112" s="171">
        <v>0.96</v>
      </c>
      <c r="E112" s="171">
        <v>0.96</v>
      </c>
      <c r="F112" s="164">
        <f t="shared" si="3"/>
        <v>4.04</v>
      </c>
      <c r="G112" s="165">
        <f t="shared" si="2"/>
        <v>19.2</v>
      </c>
    </row>
    <row r="113" spans="1:7" s="155" customFormat="1" ht="19.5" customHeight="1">
      <c r="A113" s="172" t="s">
        <v>1059</v>
      </c>
      <c r="B113" s="40" t="s">
        <v>1004</v>
      </c>
      <c r="C113" s="171">
        <v>1.95</v>
      </c>
      <c r="D113" s="171">
        <v>1.95</v>
      </c>
      <c r="E113" s="171">
        <v>1.95</v>
      </c>
      <c r="F113" s="164">
        <f t="shared" si="3"/>
        <v>0</v>
      </c>
      <c r="G113" s="165">
        <f t="shared" si="2"/>
        <v>100</v>
      </c>
    </row>
    <row r="114" spans="1:7" s="155" customFormat="1" ht="19.5" customHeight="1">
      <c r="A114" s="172" t="s">
        <v>1060</v>
      </c>
      <c r="B114" s="40" t="s">
        <v>1061</v>
      </c>
      <c r="C114" s="171">
        <v>5455.3</v>
      </c>
      <c r="D114" s="171">
        <v>5455.3</v>
      </c>
      <c r="E114" s="171">
        <v>5455.3</v>
      </c>
      <c r="F114" s="164">
        <f t="shared" si="3"/>
        <v>0</v>
      </c>
      <c r="G114" s="165">
        <f t="shared" si="2"/>
        <v>100</v>
      </c>
    </row>
    <row r="115" spans="1:7" s="155" customFormat="1" ht="19.5" customHeight="1">
      <c r="A115" s="172" t="s">
        <v>1062</v>
      </c>
      <c r="B115" s="40" t="s">
        <v>1004</v>
      </c>
      <c r="C115" s="171">
        <v>26</v>
      </c>
      <c r="D115" s="171">
        <v>26</v>
      </c>
      <c r="E115" s="171">
        <v>26</v>
      </c>
      <c r="F115" s="164">
        <f t="shared" si="3"/>
        <v>0</v>
      </c>
      <c r="G115" s="165">
        <f t="shared" si="2"/>
        <v>100</v>
      </c>
    </row>
    <row r="116" spans="1:7" s="155" customFormat="1" ht="19.5" customHeight="1">
      <c r="A116" s="172" t="s">
        <v>1063</v>
      </c>
      <c r="B116" s="40" t="s">
        <v>1064</v>
      </c>
      <c r="C116" s="171">
        <v>465</v>
      </c>
      <c r="D116" s="171">
        <v>465</v>
      </c>
      <c r="E116" s="171">
        <v>465</v>
      </c>
      <c r="F116" s="164">
        <f t="shared" si="3"/>
        <v>0</v>
      </c>
      <c r="G116" s="165">
        <f t="shared" si="2"/>
        <v>100</v>
      </c>
    </row>
    <row r="117" spans="1:7" s="155" customFormat="1" ht="19.5" customHeight="1">
      <c r="A117" s="172" t="s">
        <v>1065</v>
      </c>
      <c r="B117" s="40" t="s">
        <v>1066</v>
      </c>
      <c r="C117" s="171">
        <v>16</v>
      </c>
      <c r="D117" s="171">
        <v>10</v>
      </c>
      <c r="E117" s="171">
        <v>10</v>
      </c>
      <c r="F117" s="164">
        <f t="shared" si="3"/>
        <v>6</v>
      </c>
      <c r="G117" s="165">
        <f t="shared" si="2"/>
        <v>62.5</v>
      </c>
    </row>
    <row r="118" spans="1:7" s="155" customFormat="1" ht="19.5" customHeight="1">
      <c r="A118" s="172" t="s">
        <v>1067</v>
      </c>
      <c r="B118" s="40" t="s">
        <v>1068</v>
      </c>
      <c r="C118" s="171">
        <v>0.5</v>
      </c>
      <c r="D118" s="171">
        <v>0.5</v>
      </c>
      <c r="E118" s="171">
        <v>0</v>
      </c>
      <c r="F118" s="164">
        <f t="shared" si="3"/>
        <v>0.5</v>
      </c>
      <c r="G118" s="165">
        <f t="shared" si="2"/>
        <v>100</v>
      </c>
    </row>
    <row r="119" spans="1:7" s="155" customFormat="1" ht="19.5" customHeight="1">
      <c r="A119" s="172" t="s">
        <v>1069</v>
      </c>
      <c r="B119" s="40" t="s">
        <v>1070</v>
      </c>
      <c r="C119" s="171">
        <v>90</v>
      </c>
      <c r="D119" s="171">
        <v>90</v>
      </c>
      <c r="E119" s="171">
        <v>90</v>
      </c>
      <c r="F119" s="164">
        <f t="shared" si="3"/>
        <v>0</v>
      </c>
      <c r="G119" s="165">
        <f t="shared" si="2"/>
        <v>100</v>
      </c>
    </row>
    <row r="120" spans="1:7" s="155" customFormat="1" ht="19.5" customHeight="1">
      <c r="A120" s="172" t="s">
        <v>1071</v>
      </c>
      <c r="B120" s="40" t="s">
        <v>1072</v>
      </c>
      <c r="C120" s="171">
        <v>588</v>
      </c>
      <c r="D120" s="171">
        <v>588</v>
      </c>
      <c r="E120" s="171">
        <v>588</v>
      </c>
      <c r="F120" s="164">
        <f t="shared" si="3"/>
        <v>0</v>
      </c>
      <c r="G120" s="165">
        <f t="shared" si="2"/>
        <v>100</v>
      </c>
    </row>
    <row r="121" spans="1:7" s="155" customFormat="1" ht="19.5" customHeight="1">
      <c r="A121" s="172" t="s">
        <v>1073</v>
      </c>
      <c r="B121" s="40" t="s">
        <v>1070</v>
      </c>
      <c r="C121" s="171">
        <v>163.9</v>
      </c>
      <c r="D121" s="171">
        <v>163.9</v>
      </c>
      <c r="E121" s="171">
        <v>163.9</v>
      </c>
      <c r="F121" s="164">
        <f t="shared" si="3"/>
        <v>0</v>
      </c>
      <c r="G121" s="165">
        <f t="shared" si="2"/>
        <v>100</v>
      </c>
    </row>
    <row r="122" spans="1:7" s="155" customFormat="1" ht="19.5" customHeight="1">
      <c r="A122" s="172" t="s">
        <v>1074</v>
      </c>
      <c r="B122" s="40" t="s">
        <v>1075</v>
      </c>
      <c r="C122" s="171">
        <v>878</v>
      </c>
      <c r="D122" s="171">
        <v>878</v>
      </c>
      <c r="E122" s="171">
        <v>878</v>
      </c>
      <c r="F122" s="164">
        <f t="shared" si="3"/>
        <v>0</v>
      </c>
      <c r="G122" s="165">
        <f t="shared" si="2"/>
        <v>100</v>
      </c>
    </row>
    <row r="123" spans="1:7" s="155" customFormat="1" ht="19.5" customHeight="1">
      <c r="A123" s="172" t="s">
        <v>1076</v>
      </c>
      <c r="B123" s="40" t="s">
        <v>1077</v>
      </c>
      <c r="C123" s="171">
        <v>1178</v>
      </c>
      <c r="D123" s="171">
        <v>1178</v>
      </c>
      <c r="E123" s="171">
        <v>1178</v>
      </c>
      <c r="F123" s="164">
        <f t="shared" si="3"/>
        <v>0</v>
      </c>
      <c r="G123" s="165">
        <f t="shared" si="2"/>
        <v>100</v>
      </c>
    </row>
    <row r="124" spans="1:7" s="155" customFormat="1" ht="19.5" customHeight="1">
      <c r="A124" s="172" t="s">
        <v>1078</v>
      </c>
      <c r="B124" s="40" t="s">
        <v>1079</v>
      </c>
      <c r="C124" s="171">
        <v>1.7</v>
      </c>
      <c r="D124" s="171">
        <v>1.7</v>
      </c>
      <c r="E124" s="171">
        <v>0</v>
      </c>
      <c r="F124" s="164">
        <f t="shared" si="3"/>
        <v>1.7</v>
      </c>
      <c r="G124" s="165">
        <f t="shared" si="2"/>
        <v>100</v>
      </c>
    </row>
    <row r="125" spans="1:7" s="155" customFormat="1" ht="19.5" customHeight="1">
      <c r="A125" s="172" t="s">
        <v>1080</v>
      </c>
      <c r="B125" s="40" t="s">
        <v>1079</v>
      </c>
      <c r="C125" s="171">
        <v>7</v>
      </c>
      <c r="D125" s="171">
        <v>7</v>
      </c>
      <c r="E125" s="171">
        <v>0</v>
      </c>
      <c r="F125" s="164">
        <f t="shared" si="3"/>
        <v>7</v>
      </c>
      <c r="G125" s="165">
        <f t="shared" si="2"/>
        <v>100</v>
      </c>
    </row>
    <row r="126" spans="1:7" s="155" customFormat="1" ht="19.5" customHeight="1">
      <c r="A126" s="172" t="s">
        <v>1081</v>
      </c>
      <c r="B126" s="40" t="s">
        <v>1077</v>
      </c>
      <c r="C126" s="171">
        <v>96</v>
      </c>
      <c r="D126" s="171">
        <v>96</v>
      </c>
      <c r="E126" s="171">
        <v>0</v>
      </c>
      <c r="F126" s="164">
        <f t="shared" si="3"/>
        <v>96</v>
      </c>
      <c r="G126" s="165">
        <f t="shared" si="2"/>
        <v>100</v>
      </c>
    </row>
    <row r="127" spans="1:7" s="155" customFormat="1" ht="19.5" customHeight="1">
      <c r="A127" s="172" t="s">
        <v>1080</v>
      </c>
      <c r="B127" s="40" t="s">
        <v>1079</v>
      </c>
      <c r="C127" s="171">
        <v>25</v>
      </c>
      <c r="D127" s="171">
        <v>25</v>
      </c>
      <c r="E127" s="171">
        <v>0</v>
      </c>
      <c r="F127" s="164">
        <f t="shared" si="3"/>
        <v>25</v>
      </c>
      <c r="G127" s="165">
        <f t="shared" si="2"/>
        <v>100</v>
      </c>
    </row>
    <row r="128" spans="1:7" s="155" customFormat="1" ht="19.5" customHeight="1">
      <c r="A128" s="172" t="s">
        <v>1082</v>
      </c>
      <c r="B128" s="40" t="s">
        <v>1079</v>
      </c>
      <c r="C128" s="171">
        <v>70</v>
      </c>
      <c r="D128" s="171">
        <v>70</v>
      </c>
      <c r="E128" s="171">
        <v>0</v>
      </c>
      <c r="F128" s="164">
        <f t="shared" si="3"/>
        <v>70</v>
      </c>
      <c r="G128" s="165">
        <f t="shared" si="2"/>
        <v>100</v>
      </c>
    </row>
    <row r="129" spans="1:7" s="155" customFormat="1" ht="19.5" customHeight="1">
      <c r="A129" s="172" t="s">
        <v>1083</v>
      </c>
      <c r="B129" s="40" t="s">
        <v>1061</v>
      </c>
      <c r="C129" s="171">
        <v>3120</v>
      </c>
      <c r="D129" s="171">
        <v>3120</v>
      </c>
      <c r="E129" s="171">
        <v>704.96</v>
      </c>
      <c r="F129" s="164">
        <f t="shared" si="3"/>
        <v>2415.04</v>
      </c>
      <c r="G129" s="165">
        <f t="shared" si="2"/>
        <v>100</v>
      </c>
    </row>
    <row r="130" spans="1:7" s="155" customFormat="1" ht="19.5" customHeight="1">
      <c r="A130" s="172" t="s">
        <v>1083</v>
      </c>
      <c r="B130" s="40" t="s">
        <v>1084</v>
      </c>
      <c r="C130" s="171">
        <v>52</v>
      </c>
      <c r="D130" s="171">
        <v>52</v>
      </c>
      <c r="E130" s="171">
        <v>0</v>
      </c>
      <c r="F130" s="164">
        <f t="shared" si="3"/>
        <v>52</v>
      </c>
      <c r="G130" s="165">
        <f t="shared" si="2"/>
        <v>100</v>
      </c>
    </row>
    <row r="131" spans="1:7" s="155" customFormat="1" ht="19.5" customHeight="1">
      <c r="A131" s="172" t="s">
        <v>1083</v>
      </c>
      <c r="B131" s="40" t="s">
        <v>1085</v>
      </c>
      <c r="C131" s="171">
        <v>6380</v>
      </c>
      <c r="D131" s="171">
        <v>6380</v>
      </c>
      <c r="E131" s="171">
        <v>6380</v>
      </c>
      <c r="F131" s="164">
        <f t="shared" si="3"/>
        <v>0</v>
      </c>
      <c r="G131" s="165">
        <f t="shared" si="2"/>
        <v>100</v>
      </c>
    </row>
    <row r="132" spans="1:7" s="155" customFormat="1" ht="19.5" customHeight="1">
      <c r="A132" s="172" t="s">
        <v>1086</v>
      </c>
      <c r="B132" s="40" t="s">
        <v>1087</v>
      </c>
      <c r="C132" s="171">
        <v>5300</v>
      </c>
      <c r="D132" s="171">
        <v>5300</v>
      </c>
      <c r="E132" s="171">
        <v>5300</v>
      </c>
      <c r="F132" s="164">
        <f t="shared" si="3"/>
        <v>0</v>
      </c>
      <c r="G132" s="165">
        <f t="shared" si="2"/>
        <v>100</v>
      </c>
    </row>
    <row r="133" spans="1:7" s="155" customFormat="1" ht="19.5" customHeight="1">
      <c r="A133" s="172" t="s">
        <v>1088</v>
      </c>
      <c r="B133" s="40" t="s">
        <v>1089</v>
      </c>
      <c r="C133" s="171">
        <v>91</v>
      </c>
      <c r="D133" s="171">
        <v>91</v>
      </c>
      <c r="E133" s="171">
        <v>91</v>
      </c>
      <c r="F133" s="164">
        <f t="shared" si="3"/>
        <v>0</v>
      </c>
      <c r="G133" s="165">
        <f t="shared" si="2"/>
        <v>100</v>
      </c>
    </row>
    <row r="134" spans="1:7" s="155" customFormat="1" ht="19.5" customHeight="1">
      <c r="A134" s="172" t="s">
        <v>1090</v>
      </c>
      <c r="B134" s="40" t="s">
        <v>1089</v>
      </c>
      <c r="C134" s="171">
        <v>109</v>
      </c>
      <c r="D134" s="171">
        <v>109</v>
      </c>
      <c r="E134" s="171">
        <v>6.77</v>
      </c>
      <c r="F134" s="164">
        <f t="shared" si="3"/>
        <v>102.23</v>
      </c>
      <c r="G134" s="165">
        <f aca="true" t="shared" si="4" ref="G134:G197">D134/C134*100</f>
        <v>100</v>
      </c>
    </row>
    <row r="135" spans="1:7" s="155" customFormat="1" ht="19.5" customHeight="1">
      <c r="A135" s="172" t="s">
        <v>1091</v>
      </c>
      <c r="B135" s="40" t="s">
        <v>1089</v>
      </c>
      <c r="C135" s="171">
        <v>4.9</v>
      </c>
      <c r="D135" s="171">
        <v>4.9</v>
      </c>
      <c r="E135" s="171">
        <v>0</v>
      </c>
      <c r="F135" s="164">
        <f t="shared" si="3"/>
        <v>4.9</v>
      </c>
      <c r="G135" s="165">
        <f t="shared" si="4"/>
        <v>100</v>
      </c>
    </row>
    <row r="136" spans="1:7" s="155" customFormat="1" ht="19.5" customHeight="1">
      <c r="A136" s="172" t="s">
        <v>1092</v>
      </c>
      <c r="B136" s="40" t="s">
        <v>1089</v>
      </c>
      <c r="C136" s="171">
        <v>1781.8</v>
      </c>
      <c r="D136" s="171">
        <v>1781.8</v>
      </c>
      <c r="E136" s="171">
        <v>709.1</v>
      </c>
      <c r="F136" s="164">
        <f t="shared" si="3"/>
        <v>1072.6999999999998</v>
      </c>
      <c r="G136" s="165">
        <f t="shared" si="4"/>
        <v>100</v>
      </c>
    </row>
    <row r="137" spans="1:7" s="155" customFormat="1" ht="19.5" customHeight="1">
      <c r="A137" s="172" t="s">
        <v>1093</v>
      </c>
      <c r="B137" s="40" t="s">
        <v>1094</v>
      </c>
      <c r="C137" s="171">
        <v>12.2</v>
      </c>
      <c r="D137" s="171">
        <v>0</v>
      </c>
      <c r="E137" s="171">
        <v>0</v>
      </c>
      <c r="F137" s="164">
        <f t="shared" si="3"/>
        <v>12.2</v>
      </c>
      <c r="G137" s="165">
        <f t="shared" si="4"/>
        <v>0</v>
      </c>
    </row>
    <row r="138" spans="1:7" s="155" customFormat="1" ht="19.5" customHeight="1">
      <c r="A138" s="172" t="s">
        <v>1095</v>
      </c>
      <c r="B138" s="40" t="s">
        <v>1094</v>
      </c>
      <c r="C138" s="171">
        <v>112.3</v>
      </c>
      <c r="D138" s="171">
        <v>0</v>
      </c>
      <c r="E138" s="171">
        <v>0</v>
      </c>
      <c r="F138" s="164">
        <f t="shared" si="3"/>
        <v>112.3</v>
      </c>
      <c r="G138" s="165">
        <f t="shared" si="4"/>
        <v>0</v>
      </c>
    </row>
    <row r="139" spans="1:7" s="155" customFormat="1" ht="19.5" customHeight="1">
      <c r="A139" s="172" t="s">
        <v>1096</v>
      </c>
      <c r="B139" s="40" t="s">
        <v>1097</v>
      </c>
      <c r="C139" s="171">
        <v>31.2</v>
      </c>
      <c r="D139" s="171">
        <v>31.2</v>
      </c>
      <c r="E139" s="171">
        <v>31.2</v>
      </c>
      <c r="F139" s="164">
        <f aca="true" t="shared" si="5" ref="F139:F202">C139-E139</f>
        <v>0</v>
      </c>
      <c r="G139" s="165">
        <f t="shared" si="4"/>
        <v>100</v>
      </c>
    </row>
    <row r="140" spans="1:7" s="155" customFormat="1" ht="19.5" customHeight="1">
      <c r="A140" s="172" t="s">
        <v>1098</v>
      </c>
      <c r="B140" s="40" t="s">
        <v>1099</v>
      </c>
      <c r="C140" s="171">
        <v>893.2</v>
      </c>
      <c r="D140" s="171">
        <v>893.2</v>
      </c>
      <c r="E140" s="171">
        <v>293.37</v>
      </c>
      <c r="F140" s="164">
        <f t="shared" si="5"/>
        <v>599.83</v>
      </c>
      <c r="G140" s="165">
        <f t="shared" si="4"/>
        <v>100</v>
      </c>
    </row>
    <row r="141" spans="1:7" s="155" customFormat="1" ht="19.5" customHeight="1">
      <c r="A141" s="172" t="s">
        <v>1100</v>
      </c>
      <c r="B141" s="40" t="s">
        <v>1097</v>
      </c>
      <c r="C141" s="171">
        <v>223.4</v>
      </c>
      <c r="D141" s="171">
        <v>223.4</v>
      </c>
      <c r="E141" s="171">
        <v>0</v>
      </c>
      <c r="F141" s="164">
        <f t="shared" si="5"/>
        <v>223.4</v>
      </c>
      <c r="G141" s="165">
        <f t="shared" si="4"/>
        <v>100</v>
      </c>
    </row>
    <row r="142" spans="1:7" s="155" customFormat="1" ht="19.5" customHeight="1">
      <c r="A142" s="172" t="s">
        <v>1101</v>
      </c>
      <c r="B142" s="40" t="s">
        <v>1097</v>
      </c>
      <c r="C142" s="171">
        <v>225</v>
      </c>
      <c r="D142" s="171">
        <v>225</v>
      </c>
      <c r="E142" s="171">
        <v>219.43</v>
      </c>
      <c r="F142" s="164">
        <f t="shared" si="5"/>
        <v>5.569999999999993</v>
      </c>
      <c r="G142" s="165">
        <f t="shared" si="4"/>
        <v>100</v>
      </c>
    </row>
    <row r="143" spans="1:7" s="155" customFormat="1" ht="19.5" customHeight="1">
      <c r="A143" s="172" t="s">
        <v>1102</v>
      </c>
      <c r="B143" s="40" t="s">
        <v>1103</v>
      </c>
      <c r="C143" s="171">
        <v>113.5</v>
      </c>
      <c r="D143" s="171">
        <v>113.5</v>
      </c>
      <c r="E143" s="171">
        <v>113.5</v>
      </c>
      <c r="F143" s="164">
        <f t="shared" si="5"/>
        <v>0</v>
      </c>
      <c r="G143" s="165">
        <f t="shared" si="4"/>
        <v>100</v>
      </c>
    </row>
    <row r="144" spans="1:7" s="155" customFormat="1" ht="19.5" customHeight="1">
      <c r="A144" s="172" t="s">
        <v>1104</v>
      </c>
      <c r="B144" s="40" t="s">
        <v>1097</v>
      </c>
      <c r="C144" s="171">
        <v>32.5</v>
      </c>
      <c r="D144" s="171">
        <v>32.5</v>
      </c>
      <c r="E144" s="171">
        <v>32.5</v>
      </c>
      <c r="F144" s="164">
        <f t="shared" si="5"/>
        <v>0</v>
      </c>
      <c r="G144" s="165">
        <f t="shared" si="4"/>
        <v>100</v>
      </c>
    </row>
    <row r="145" spans="1:7" s="155" customFormat="1" ht="19.5" customHeight="1">
      <c r="A145" s="172" t="s">
        <v>1105</v>
      </c>
      <c r="B145" s="40" t="s">
        <v>1058</v>
      </c>
      <c r="C145" s="171">
        <v>293.5</v>
      </c>
      <c r="D145" s="171">
        <v>99.52</v>
      </c>
      <c r="E145" s="171">
        <v>99.22</v>
      </c>
      <c r="F145" s="164">
        <f t="shared" si="5"/>
        <v>194.28</v>
      </c>
      <c r="G145" s="165">
        <f t="shared" si="4"/>
        <v>33.90800681431005</v>
      </c>
    </row>
    <row r="146" spans="1:7" s="155" customFormat="1" ht="19.5" customHeight="1">
      <c r="A146" s="172" t="s">
        <v>1106</v>
      </c>
      <c r="B146" s="40" t="s">
        <v>1058</v>
      </c>
      <c r="C146" s="171">
        <v>33.3</v>
      </c>
      <c r="D146" s="171">
        <v>1.92</v>
      </c>
      <c r="E146" s="171">
        <v>1.92</v>
      </c>
      <c r="F146" s="164">
        <f t="shared" si="5"/>
        <v>31.379999999999995</v>
      </c>
      <c r="G146" s="165">
        <f t="shared" si="4"/>
        <v>5.7657657657657655</v>
      </c>
    </row>
    <row r="147" spans="1:7" s="155" customFormat="1" ht="19.5" customHeight="1">
      <c r="A147" s="172" t="s">
        <v>1107</v>
      </c>
      <c r="B147" s="40" t="s">
        <v>1058</v>
      </c>
      <c r="C147" s="171">
        <v>588.6</v>
      </c>
      <c r="D147" s="171">
        <v>0</v>
      </c>
      <c r="E147" s="171">
        <v>0</v>
      </c>
      <c r="F147" s="164">
        <f t="shared" si="5"/>
        <v>588.6</v>
      </c>
      <c r="G147" s="165">
        <f t="shared" si="4"/>
        <v>0</v>
      </c>
    </row>
    <row r="148" spans="1:7" s="155" customFormat="1" ht="19.5" customHeight="1">
      <c r="A148" s="172" t="s">
        <v>1108</v>
      </c>
      <c r="B148" s="40" t="s">
        <v>1058</v>
      </c>
      <c r="C148" s="171">
        <v>150.7</v>
      </c>
      <c r="D148" s="171">
        <v>0</v>
      </c>
      <c r="E148" s="171">
        <v>0</v>
      </c>
      <c r="F148" s="164">
        <f t="shared" si="5"/>
        <v>150.7</v>
      </c>
      <c r="G148" s="165">
        <f t="shared" si="4"/>
        <v>0</v>
      </c>
    </row>
    <row r="149" spans="1:7" s="155" customFormat="1" ht="19.5" customHeight="1">
      <c r="A149" s="172" t="s">
        <v>1109</v>
      </c>
      <c r="B149" s="40" t="s">
        <v>1110</v>
      </c>
      <c r="C149" s="171">
        <v>3.6</v>
      </c>
      <c r="D149" s="171">
        <v>0</v>
      </c>
      <c r="E149" s="171">
        <v>0</v>
      </c>
      <c r="F149" s="164">
        <f t="shared" si="5"/>
        <v>3.6</v>
      </c>
      <c r="G149" s="165">
        <f t="shared" si="4"/>
        <v>0</v>
      </c>
    </row>
    <row r="150" spans="1:7" s="155" customFormat="1" ht="19.5" customHeight="1">
      <c r="A150" s="172" t="s">
        <v>1111</v>
      </c>
      <c r="B150" s="40" t="s">
        <v>1058</v>
      </c>
      <c r="C150" s="171">
        <v>43.7</v>
      </c>
      <c r="D150" s="171">
        <v>43.7</v>
      </c>
      <c r="E150" s="171">
        <v>0</v>
      </c>
      <c r="F150" s="164">
        <f t="shared" si="5"/>
        <v>43.7</v>
      </c>
      <c r="G150" s="165">
        <f t="shared" si="4"/>
        <v>100</v>
      </c>
    </row>
    <row r="151" spans="1:7" s="155" customFormat="1" ht="19.5" customHeight="1">
      <c r="A151" s="172" t="s">
        <v>1112</v>
      </c>
      <c r="B151" s="40" t="s">
        <v>1113</v>
      </c>
      <c r="C151" s="171">
        <v>174.4</v>
      </c>
      <c r="D151" s="171">
        <v>174.4</v>
      </c>
      <c r="E151" s="171">
        <v>0</v>
      </c>
      <c r="F151" s="164">
        <f t="shared" si="5"/>
        <v>174.4</v>
      </c>
      <c r="G151" s="165">
        <f t="shared" si="4"/>
        <v>100</v>
      </c>
    </row>
    <row r="152" spans="1:7" s="155" customFormat="1" ht="19.5" customHeight="1">
      <c r="A152" s="172" t="s">
        <v>1114</v>
      </c>
      <c r="B152" s="40" t="s">
        <v>1058</v>
      </c>
      <c r="C152" s="171">
        <v>39.8</v>
      </c>
      <c r="D152" s="171">
        <v>39.8</v>
      </c>
      <c r="E152" s="171">
        <v>39.8</v>
      </c>
      <c r="F152" s="164">
        <f t="shared" si="5"/>
        <v>0</v>
      </c>
      <c r="G152" s="165">
        <f t="shared" si="4"/>
        <v>100</v>
      </c>
    </row>
    <row r="153" spans="1:7" s="155" customFormat="1" ht="19.5" customHeight="1">
      <c r="A153" s="172" t="s">
        <v>1115</v>
      </c>
      <c r="B153" s="40" t="s">
        <v>1110</v>
      </c>
      <c r="C153" s="171">
        <v>117.1</v>
      </c>
      <c r="D153" s="171">
        <v>117.1</v>
      </c>
      <c r="E153" s="171">
        <v>117.1</v>
      </c>
      <c r="F153" s="164">
        <f t="shared" si="5"/>
        <v>0</v>
      </c>
      <c r="G153" s="165">
        <f t="shared" si="4"/>
        <v>100</v>
      </c>
    </row>
    <row r="154" spans="1:7" s="155" customFormat="1" ht="19.5" customHeight="1">
      <c r="A154" s="172" t="s">
        <v>1116</v>
      </c>
      <c r="B154" s="40" t="s">
        <v>1058</v>
      </c>
      <c r="C154" s="171">
        <v>144.6</v>
      </c>
      <c r="D154" s="171">
        <v>144.6</v>
      </c>
      <c r="E154" s="171">
        <v>144.6</v>
      </c>
      <c r="F154" s="164">
        <f t="shared" si="5"/>
        <v>0</v>
      </c>
      <c r="G154" s="165">
        <f t="shared" si="4"/>
        <v>100</v>
      </c>
    </row>
    <row r="155" spans="1:7" s="155" customFormat="1" ht="19.5" customHeight="1">
      <c r="A155" s="172" t="s">
        <v>1117</v>
      </c>
      <c r="B155" s="40" t="s">
        <v>1118</v>
      </c>
      <c r="C155" s="171">
        <v>5</v>
      </c>
      <c r="D155" s="171">
        <v>5</v>
      </c>
      <c r="E155" s="171">
        <v>0</v>
      </c>
      <c r="F155" s="164">
        <f t="shared" si="5"/>
        <v>5</v>
      </c>
      <c r="G155" s="165">
        <f t="shared" si="4"/>
        <v>100</v>
      </c>
    </row>
    <row r="156" spans="1:7" s="155" customFormat="1" ht="19.5" customHeight="1">
      <c r="A156" s="172" t="s">
        <v>1117</v>
      </c>
      <c r="B156" s="40" t="s">
        <v>1079</v>
      </c>
      <c r="C156" s="171">
        <v>5</v>
      </c>
      <c r="D156" s="171">
        <v>5</v>
      </c>
      <c r="E156" s="171">
        <v>0</v>
      </c>
      <c r="F156" s="164">
        <f t="shared" si="5"/>
        <v>5</v>
      </c>
      <c r="G156" s="165">
        <f t="shared" si="4"/>
        <v>100</v>
      </c>
    </row>
    <row r="157" spans="1:7" s="155" customFormat="1" ht="19.5" customHeight="1">
      <c r="A157" s="172" t="s">
        <v>1119</v>
      </c>
      <c r="B157" s="40" t="s">
        <v>1120</v>
      </c>
      <c r="C157" s="171">
        <v>10</v>
      </c>
      <c r="D157" s="171">
        <v>0</v>
      </c>
      <c r="E157" s="171">
        <v>0</v>
      </c>
      <c r="F157" s="164">
        <f t="shared" si="5"/>
        <v>10</v>
      </c>
      <c r="G157" s="165">
        <f t="shared" si="4"/>
        <v>0</v>
      </c>
    </row>
    <row r="158" spans="1:7" s="155" customFormat="1" ht="19.5" customHeight="1">
      <c r="A158" s="172" t="s">
        <v>1121</v>
      </c>
      <c r="B158" s="40" t="s">
        <v>1061</v>
      </c>
      <c r="C158" s="171">
        <v>118.4</v>
      </c>
      <c r="D158" s="171">
        <v>0</v>
      </c>
      <c r="E158" s="171">
        <v>0</v>
      </c>
      <c r="F158" s="164">
        <f t="shared" si="5"/>
        <v>118.4</v>
      </c>
      <c r="G158" s="165">
        <f t="shared" si="4"/>
        <v>0</v>
      </c>
    </row>
    <row r="159" spans="1:7" s="155" customFormat="1" ht="19.5" customHeight="1">
      <c r="A159" s="172" t="s">
        <v>1122</v>
      </c>
      <c r="B159" s="40" t="s">
        <v>1070</v>
      </c>
      <c r="C159" s="171">
        <v>71.9</v>
      </c>
      <c r="D159" s="171">
        <v>71.9</v>
      </c>
      <c r="E159" s="171">
        <v>0</v>
      </c>
      <c r="F159" s="164">
        <f t="shared" si="5"/>
        <v>71.9</v>
      </c>
      <c r="G159" s="165">
        <f t="shared" si="4"/>
        <v>100</v>
      </c>
    </row>
    <row r="160" spans="1:7" s="155" customFormat="1" ht="19.5" customHeight="1">
      <c r="A160" s="172" t="s">
        <v>1123</v>
      </c>
      <c r="B160" s="40" t="s">
        <v>999</v>
      </c>
      <c r="C160" s="171">
        <v>4.7</v>
      </c>
      <c r="D160" s="171">
        <v>4.7</v>
      </c>
      <c r="E160" s="171">
        <v>0</v>
      </c>
      <c r="F160" s="164">
        <f t="shared" si="5"/>
        <v>4.7</v>
      </c>
      <c r="G160" s="165">
        <f t="shared" si="4"/>
        <v>100</v>
      </c>
    </row>
    <row r="161" spans="1:7" s="155" customFormat="1" ht="19.5" customHeight="1">
      <c r="A161" s="172" t="s">
        <v>1124</v>
      </c>
      <c r="B161" s="40" t="s">
        <v>1087</v>
      </c>
      <c r="C161" s="171">
        <v>100.1</v>
      </c>
      <c r="D161" s="171">
        <v>0</v>
      </c>
      <c r="E161" s="171">
        <v>0</v>
      </c>
      <c r="F161" s="164">
        <f t="shared" si="5"/>
        <v>100.1</v>
      </c>
      <c r="G161" s="165">
        <f t="shared" si="4"/>
        <v>0</v>
      </c>
    </row>
    <row r="162" spans="1:7" s="155" customFormat="1" ht="19.5" customHeight="1">
      <c r="A162" s="172" t="s">
        <v>1125</v>
      </c>
      <c r="B162" s="40" t="s">
        <v>1061</v>
      </c>
      <c r="C162" s="171">
        <v>235.1</v>
      </c>
      <c r="D162" s="171">
        <v>235.1</v>
      </c>
      <c r="E162" s="171">
        <v>0</v>
      </c>
      <c r="F162" s="164">
        <f t="shared" si="5"/>
        <v>235.1</v>
      </c>
      <c r="G162" s="165">
        <f t="shared" si="4"/>
        <v>100</v>
      </c>
    </row>
    <row r="163" spans="1:7" ht="15">
      <c r="A163" s="172" t="s">
        <v>1126</v>
      </c>
      <c r="B163" s="40" t="s">
        <v>1075</v>
      </c>
      <c r="C163" s="171">
        <v>12</v>
      </c>
      <c r="D163" s="171">
        <v>0</v>
      </c>
      <c r="E163" s="171">
        <v>0</v>
      </c>
      <c r="F163" s="164">
        <f t="shared" si="5"/>
        <v>12</v>
      </c>
      <c r="G163" s="165">
        <f t="shared" si="4"/>
        <v>0</v>
      </c>
    </row>
    <row r="164" spans="1:7" ht="15">
      <c r="A164" s="172" t="s">
        <v>1127</v>
      </c>
      <c r="B164" s="40" t="s">
        <v>1072</v>
      </c>
      <c r="C164" s="171">
        <v>59</v>
      </c>
      <c r="D164" s="171">
        <v>59</v>
      </c>
      <c r="E164" s="171">
        <v>0</v>
      </c>
      <c r="F164" s="164">
        <f t="shared" si="5"/>
        <v>59</v>
      </c>
      <c r="G164" s="165">
        <f t="shared" si="4"/>
        <v>100</v>
      </c>
    </row>
    <row r="165" spans="1:7" ht="15">
      <c r="A165" s="172" t="s">
        <v>1128</v>
      </c>
      <c r="B165" s="40" t="s">
        <v>1061</v>
      </c>
      <c r="C165" s="171">
        <v>482.4</v>
      </c>
      <c r="D165" s="171">
        <v>0</v>
      </c>
      <c r="E165" s="171">
        <v>0</v>
      </c>
      <c r="F165" s="164">
        <f t="shared" si="5"/>
        <v>482.4</v>
      </c>
      <c r="G165" s="165">
        <f t="shared" si="4"/>
        <v>0</v>
      </c>
    </row>
    <row r="166" spans="1:7" ht="15">
      <c r="A166" s="172" t="s">
        <v>1129</v>
      </c>
      <c r="B166" s="40" t="s">
        <v>1130</v>
      </c>
      <c r="C166" s="171">
        <v>17.8</v>
      </c>
      <c r="D166" s="171">
        <v>17.8</v>
      </c>
      <c r="E166" s="171">
        <v>17.8</v>
      </c>
      <c r="F166" s="164">
        <f t="shared" si="5"/>
        <v>0</v>
      </c>
      <c r="G166" s="165">
        <f t="shared" si="4"/>
        <v>100</v>
      </c>
    </row>
    <row r="167" spans="1:7" ht="15">
      <c r="A167" s="172" t="s">
        <v>1131</v>
      </c>
      <c r="B167" s="40" t="s">
        <v>1132</v>
      </c>
      <c r="C167" s="171">
        <v>51.4</v>
      </c>
      <c r="D167" s="171">
        <v>51.4</v>
      </c>
      <c r="E167" s="171">
        <v>0</v>
      </c>
      <c r="F167" s="164">
        <f t="shared" si="5"/>
        <v>51.4</v>
      </c>
      <c r="G167" s="165">
        <f t="shared" si="4"/>
        <v>100</v>
      </c>
    </row>
    <row r="168" spans="1:7" ht="15">
      <c r="A168" s="172" t="s">
        <v>1133</v>
      </c>
      <c r="B168" s="40" t="s">
        <v>1061</v>
      </c>
      <c r="C168" s="171">
        <v>198</v>
      </c>
      <c r="D168" s="171">
        <v>0</v>
      </c>
      <c r="E168" s="171">
        <v>0</v>
      </c>
      <c r="F168" s="164">
        <f t="shared" si="5"/>
        <v>198</v>
      </c>
      <c r="G168" s="165">
        <f t="shared" si="4"/>
        <v>0</v>
      </c>
    </row>
    <row r="169" spans="1:7" ht="15">
      <c r="A169" s="172" t="s">
        <v>1134</v>
      </c>
      <c r="B169" s="40" t="s">
        <v>1061</v>
      </c>
      <c r="C169" s="171">
        <v>12</v>
      </c>
      <c r="D169" s="171">
        <v>0</v>
      </c>
      <c r="E169" s="171">
        <v>0</v>
      </c>
      <c r="F169" s="164">
        <f t="shared" si="5"/>
        <v>12</v>
      </c>
      <c r="G169" s="165">
        <f t="shared" si="4"/>
        <v>0</v>
      </c>
    </row>
    <row r="170" spans="1:7" ht="15">
      <c r="A170" s="172" t="s">
        <v>1135</v>
      </c>
      <c r="B170" s="40" t="s">
        <v>1075</v>
      </c>
      <c r="C170" s="171">
        <v>5</v>
      </c>
      <c r="D170" s="171">
        <v>5</v>
      </c>
      <c r="E170" s="171">
        <v>0</v>
      </c>
      <c r="F170" s="164">
        <f t="shared" si="5"/>
        <v>5</v>
      </c>
      <c r="G170" s="165">
        <f t="shared" si="4"/>
        <v>100</v>
      </c>
    </row>
    <row r="171" spans="1:7" ht="15">
      <c r="A171" s="172" t="s">
        <v>1136</v>
      </c>
      <c r="B171" s="40" t="s">
        <v>1079</v>
      </c>
      <c r="C171" s="171">
        <v>1.7</v>
      </c>
      <c r="D171" s="171">
        <v>1.7</v>
      </c>
      <c r="E171" s="171">
        <v>0</v>
      </c>
      <c r="F171" s="164">
        <f t="shared" si="5"/>
        <v>1.7</v>
      </c>
      <c r="G171" s="165">
        <f t="shared" si="4"/>
        <v>100</v>
      </c>
    </row>
    <row r="172" spans="1:7" ht="15">
      <c r="A172" s="172" t="s">
        <v>1137</v>
      </c>
      <c r="B172" s="40" t="s">
        <v>1079</v>
      </c>
      <c r="C172" s="171">
        <v>24</v>
      </c>
      <c r="D172" s="171">
        <v>24</v>
      </c>
      <c r="E172" s="171">
        <v>24</v>
      </c>
      <c r="F172" s="164">
        <f t="shared" si="5"/>
        <v>0</v>
      </c>
      <c r="G172" s="165">
        <f t="shared" si="4"/>
        <v>100</v>
      </c>
    </row>
    <row r="173" spans="1:7" ht="15">
      <c r="A173" s="172" t="s">
        <v>1138</v>
      </c>
      <c r="B173" s="40" t="s">
        <v>1110</v>
      </c>
      <c r="C173" s="171">
        <v>11</v>
      </c>
      <c r="D173" s="171">
        <v>11</v>
      </c>
      <c r="E173" s="171">
        <v>11</v>
      </c>
      <c r="F173" s="164">
        <f t="shared" si="5"/>
        <v>0</v>
      </c>
      <c r="G173" s="165">
        <f t="shared" si="4"/>
        <v>100</v>
      </c>
    </row>
    <row r="174" spans="1:7" ht="15">
      <c r="A174" s="172" t="s">
        <v>1139</v>
      </c>
      <c r="B174" s="40" t="s">
        <v>1140</v>
      </c>
      <c r="C174" s="171">
        <v>496.1</v>
      </c>
      <c r="D174" s="171">
        <v>0</v>
      </c>
      <c r="E174" s="171">
        <v>0</v>
      </c>
      <c r="F174" s="164">
        <f t="shared" si="5"/>
        <v>496.1</v>
      </c>
      <c r="G174" s="165">
        <f t="shared" si="4"/>
        <v>0</v>
      </c>
    </row>
    <row r="175" spans="1:7" ht="15">
      <c r="A175" s="172" t="s">
        <v>1141</v>
      </c>
      <c r="B175" s="40" t="s">
        <v>1068</v>
      </c>
      <c r="C175" s="171">
        <v>83</v>
      </c>
      <c r="D175" s="171">
        <v>82</v>
      </c>
      <c r="E175" s="171">
        <v>3</v>
      </c>
      <c r="F175" s="164">
        <f t="shared" si="5"/>
        <v>80</v>
      </c>
      <c r="G175" s="165">
        <f t="shared" si="4"/>
        <v>98.79518072289156</v>
      </c>
    </row>
    <row r="176" spans="1:7" ht="15">
      <c r="A176" s="172" t="s">
        <v>1142</v>
      </c>
      <c r="B176" s="40" t="s">
        <v>1072</v>
      </c>
      <c r="C176" s="171">
        <v>199</v>
      </c>
      <c r="D176" s="171">
        <v>199</v>
      </c>
      <c r="E176" s="171">
        <v>199</v>
      </c>
      <c r="F176" s="164">
        <f t="shared" si="5"/>
        <v>0</v>
      </c>
      <c r="G176" s="165">
        <f t="shared" si="4"/>
        <v>100</v>
      </c>
    </row>
    <row r="177" spans="1:7" ht="15">
      <c r="A177" s="172" t="s">
        <v>1143</v>
      </c>
      <c r="B177" s="40" t="s">
        <v>1144</v>
      </c>
      <c r="C177" s="171">
        <v>210</v>
      </c>
      <c r="D177" s="171">
        <v>210</v>
      </c>
      <c r="E177" s="171">
        <v>0</v>
      </c>
      <c r="F177" s="164">
        <f t="shared" si="5"/>
        <v>210</v>
      </c>
      <c r="G177" s="165">
        <f t="shared" si="4"/>
        <v>100</v>
      </c>
    </row>
    <row r="178" spans="1:7" ht="15">
      <c r="A178" s="172" t="s">
        <v>1145</v>
      </c>
      <c r="B178" s="40" t="s">
        <v>1064</v>
      </c>
      <c r="C178" s="171">
        <v>465.3</v>
      </c>
      <c r="D178" s="171">
        <v>465.3</v>
      </c>
      <c r="E178" s="171">
        <v>465.3</v>
      </c>
      <c r="F178" s="164">
        <f t="shared" si="5"/>
        <v>0</v>
      </c>
      <c r="G178" s="165">
        <f t="shared" si="4"/>
        <v>100</v>
      </c>
    </row>
    <row r="179" spans="1:7" ht="15">
      <c r="A179" s="172" t="s">
        <v>1146</v>
      </c>
      <c r="B179" s="40" t="s">
        <v>1068</v>
      </c>
      <c r="C179" s="171">
        <v>35</v>
      </c>
      <c r="D179" s="171">
        <v>33</v>
      </c>
      <c r="E179" s="171">
        <v>20</v>
      </c>
      <c r="F179" s="164">
        <f t="shared" si="5"/>
        <v>15</v>
      </c>
      <c r="G179" s="165">
        <f t="shared" si="4"/>
        <v>94.28571428571428</v>
      </c>
    </row>
    <row r="180" spans="1:7" ht="15">
      <c r="A180" s="172" t="s">
        <v>1147</v>
      </c>
      <c r="B180" s="40" t="s">
        <v>1077</v>
      </c>
      <c r="C180" s="171">
        <v>15</v>
      </c>
      <c r="D180" s="171">
        <v>15</v>
      </c>
      <c r="E180" s="171">
        <v>0</v>
      </c>
      <c r="F180" s="164">
        <f t="shared" si="5"/>
        <v>15</v>
      </c>
      <c r="G180" s="165">
        <f t="shared" si="4"/>
        <v>100</v>
      </c>
    </row>
    <row r="181" spans="1:7" ht="15">
      <c r="A181" s="172" t="s">
        <v>1148</v>
      </c>
      <c r="B181" s="40" t="s">
        <v>1097</v>
      </c>
      <c r="C181" s="171">
        <v>107</v>
      </c>
      <c r="D181" s="171">
        <v>107</v>
      </c>
      <c r="E181" s="171">
        <v>107</v>
      </c>
      <c r="F181" s="164">
        <f t="shared" si="5"/>
        <v>0</v>
      </c>
      <c r="G181" s="165">
        <f t="shared" si="4"/>
        <v>100</v>
      </c>
    </row>
    <row r="182" spans="1:7" ht="15">
      <c r="A182" s="172" t="s">
        <v>1149</v>
      </c>
      <c r="B182" s="40" t="s">
        <v>1087</v>
      </c>
      <c r="C182" s="171">
        <v>2000</v>
      </c>
      <c r="D182" s="171">
        <v>2000</v>
      </c>
      <c r="E182" s="171">
        <v>0</v>
      </c>
      <c r="F182" s="164">
        <f t="shared" si="5"/>
        <v>2000</v>
      </c>
      <c r="G182" s="165">
        <f t="shared" si="4"/>
        <v>100</v>
      </c>
    </row>
    <row r="183" spans="1:7" ht="15">
      <c r="A183" s="172" t="s">
        <v>1150</v>
      </c>
      <c r="B183" s="40" t="s">
        <v>1097</v>
      </c>
      <c r="C183" s="171">
        <v>10</v>
      </c>
      <c r="D183" s="171">
        <v>10</v>
      </c>
      <c r="E183" s="171">
        <v>0</v>
      </c>
      <c r="F183" s="164">
        <f t="shared" si="5"/>
        <v>10</v>
      </c>
      <c r="G183" s="165">
        <f t="shared" si="4"/>
        <v>100</v>
      </c>
    </row>
    <row r="184" spans="1:7" ht="15">
      <c r="A184" s="172" t="s">
        <v>1151</v>
      </c>
      <c r="B184" s="40" t="s">
        <v>1075</v>
      </c>
      <c r="C184" s="171">
        <v>137.2</v>
      </c>
      <c r="D184" s="171">
        <v>137.2</v>
      </c>
      <c r="E184" s="171">
        <v>137.2</v>
      </c>
      <c r="F184" s="164">
        <f t="shared" si="5"/>
        <v>0</v>
      </c>
      <c r="G184" s="165">
        <f t="shared" si="4"/>
        <v>100</v>
      </c>
    </row>
    <row r="185" spans="1:7" ht="15">
      <c r="A185" s="172" t="s">
        <v>1152</v>
      </c>
      <c r="B185" s="40" t="s">
        <v>1058</v>
      </c>
      <c r="C185" s="171">
        <v>1.5</v>
      </c>
      <c r="D185" s="171">
        <v>0</v>
      </c>
      <c r="E185" s="171">
        <v>0</v>
      </c>
      <c r="F185" s="164">
        <f t="shared" si="5"/>
        <v>1.5</v>
      </c>
      <c r="G185" s="165">
        <f t="shared" si="4"/>
        <v>0</v>
      </c>
    </row>
    <row r="186" spans="1:7" ht="15">
      <c r="A186" s="172" t="s">
        <v>1153</v>
      </c>
      <c r="B186" s="40" t="s">
        <v>1058</v>
      </c>
      <c r="C186" s="171">
        <v>4.38</v>
      </c>
      <c r="D186" s="171">
        <v>0.66</v>
      </c>
      <c r="E186" s="171">
        <v>0.66</v>
      </c>
      <c r="F186" s="164">
        <f t="shared" si="5"/>
        <v>3.7199999999999998</v>
      </c>
      <c r="G186" s="165">
        <f t="shared" si="4"/>
        <v>15.068493150684933</v>
      </c>
    </row>
    <row r="187" spans="1:7" ht="15">
      <c r="A187" s="172" t="s">
        <v>1154</v>
      </c>
      <c r="B187" s="40" t="s">
        <v>1089</v>
      </c>
      <c r="C187" s="171">
        <v>55</v>
      </c>
      <c r="D187" s="171">
        <v>55</v>
      </c>
      <c r="E187" s="171">
        <v>48.04</v>
      </c>
      <c r="F187" s="164">
        <f t="shared" si="5"/>
        <v>6.960000000000001</v>
      </c>
      <c r="G187" s="165">
        <f t="shared" si="4"/>
        <v>100</v>
      </c>
    </row>
    <row r="188" spans="1:7" ht="15">
      <c r="A188" s="172" t="s">
        <v>1155</v>
      </c>
      <c r="B188" s="40" t="s">
        <v>1087</v>
      </c>
      <c r="C188" s="171">
        <v>943</v>
      </c>
      <c r="D188" s="171">
        <v>943</v>
      </c>
      <c r="E188" s="171">
        <v>0</v>
      </c>
      <c r="F188" s="164">
        <f t="shared" si="5"/>
        <v>943</v>
      </c>
      <c r="G188" s="165">
        <f t="shared" si="4"/>
        <v>100</v>
      </c>
    </row>
    <row r="189" spans="1:7" ht="15">
      <c r="A189" s="172" t="s">
        <v>1156</v>
      </c>
      <c r="B189" s="40" t="s">
        <v>1157</v>
      </c>
      <c r="C189" s="171">
        <v>6</v>
      </c>
      <c r="D189" s="171">
        <v>6</v>
      </c>
      <c r="E189" s="171">
        <v>0</v>
      </c>
      <c r="F189" s="164">
        <f t="shared" si="5"/>
        <v>6</v>
      </c>
      <c r="G189" s="165">
        <f t="shared" si="4"/>
        <v>100</v>
      </c>
    </row>
    <row r="190" spans="1:7" ht="15">
      <c r="A190" s="172" t="s">
        <v>1158</v>
      </c>
      <c r="B190" s="40" t="s">
        <v>1113</v>
      </c>
      <c r="C190" s="171">
        <v>13.14</v>
      </c>
      <c r="D190" s="171">
        <v>1.92</v>
      </c>
      <c r="E190" s="171">
        <v>1.92</v>
      </c>
      <c r="F190" s="164">
        <f t="shared" si="5"/>
        <v>11.22</v>
      </c>
      <c r="G190" s="165">
        <f t="shared" si="4"/>
        <v>14.61187214611872</v>
      </c>
    </row>
    <row r="191" spans="1:7" ht="15">
      <c r="A191" s="172" t="s">
        <v>1159</v>
      </c>
      <c r="B191" s="40" t="s">
        <v>1113</v>
      </c>
      <c r="C191" s="171">
        <v>20</v>
      </c>
      <c r="D191" s="171">
        <v>9.49</v>
      </c>
      <c r="E191" s="171">
        <v>9.49</v>
      </c>
      <c r="F191" s="164">
        <f t="shared" si="5"/>
        <v>10.51</v>
      </c>
      <c r="G191" s="165">
        <f t="shared" si="4"/>
        <v>47.45</v>
      </c>
    </row>
    <row r="192" spans="1:7" ht="15">
      <c r="A192" s="172" t="s">
        <v>1160</v>
      </c>
      <c r="B192" s="40" t="s">
        <v>1079</v>
      </c>
      <c r="C192" s="171">
        <v>22.8</v>
      </c>
      <c r="D192" s="171">
        <v>22.8</v>
      </c>
      <c r="E192" s="171">
        <v>9.3</v>
      </c>
      <c r="F192" s="164">
        <f t="shared" si="5"/>
        <v>13.5</v>
      </c>
      <c r="G192" s="165">
        <f t="shared" si="4"/>
        <v>100</v>
      </c>
    </row>
    <row r="193" spans="1:7" ht="15">
      <c r="A193" s="172" t="s">
        <v>1161</v>
      </c>
      <c r="B193" s="40" t="s">
        <v>1079</v>
      </c>
      <c r="C193" s="171">
        <v>293</v>
      </c>
      <c r="D193" s="171">
        <v>0</v>
      </c>
      <c r="E193" s="171">
        <v>0</v>
      </c>
      <c r="F193" s="164">
        <f t="shared" si="5"/>
        <v>293</v>
      </c>
      <c r="G193" s="165">
        <f t="shared" si="4"/>
        <v>0</v>
      </c>
    </row>
    <row r="194" spans="1:7" ht="15">
      <c r="A194" s="172" t="s">
        <v>1162</v>
      </c>
      <c r="B194" s="40" t="s">
        <v>1079</v>
      </c>
      <c r="C194" s="171">
        <v>15</v>
      </c>
      <c r="D194" s="171">
        <v>15</v>
      </c>
      <c r="E194" s="171">
        <v>0</v>
      </c>
      <c r="F194" s="164">
        <f t="shared" si="5"/>
        <v>15</v>
      </c>
      <c r="G194" s="165">
        <f t="shared" si="4"/>
        <v>100</v>
      </c>
    </row>
    <row r="195" spans="1:7" ht="15">
      <c r="A195" s="172" t="s">
        <v>1163</v>
      </c>
      <c r="B195" s="40" t="s">
        <v>1079</v>
      </c>
      <c r="C195" s="171">
        <v>3</v>
      </c>
      <c r="D195" s="171">
        <v>3</v>
      </c>
      <c r="E195" s="171">
        <v>0</v>
      </c>
      <c r="F195" s="164">
        <f t="shared" si="5"/>
        <v>3</v>
      </c>
      <c r="G195" s="165">
        <f t="shared" si="4"/>
        <v>100</v>
      </c>
    </row>
    <row r="196" spans="1:7" ht="15">
      <c r="A196" s="172" t="s">
        <v>1164</v>
      </c>
      <c r="B196" s="40" t="s">
        <v>1165</v>
      </c>
      <c r="C196" s="171">
        <v>2.4</v>
      </c>
      <c r="D196" s="171">
        <v>2.4</v>
      </c>
      <c r="E196" s="171">
        <v>2.4</v>
      </c>
      <c r="F196" s="164">
        <f t="shared" si="5"/>
        <v>0</v>
      </c>
      <c r="G196" s="165">
        <f t="shared" si="4"/>
        <v>100</v>
      </c>
    </row>
    <row r="197" spans="1:7" ht="15">
      <c r="A197" s="172" t="s">
        <v>1166</v>
      </c>
      <c r="B197" s="40" t="s">
        <v>1068</v>
      </c>
      <c r="C197" s="171">
        <v>3</v>
      </c>
      <c r="D197" s="171">
        <v>3</v>
      </c>
      <c r="E197" s="171">
        <v>0</v>
      </c>
      <c r="F197" s="164">
        <f t="shared" si="5"/>
        <v>3</v>
      </c>
      <c r="G197" s="165">
        <f t="shared" si="4"/>
        <v>100</v>
      </c>
    </row>
    <row r="198" spans="1:7" ht="15">
      <c r="A198" s="172" t="s">
        <v>1166</v>
      </c>
      <c r="B198" s="40" t="s">
        <v>1079</v>
      </c>
      <c r="C198" s="171">
        <v>19</v>
      </c>
      <c r="D198" s="171">
        <v>19</v>
      </c>
      <c r="E198" s="171">
        <v>0</v>
      </c>
      <c r="F198" s="164">
        <f t="shared" si="5"/>
        <v>19</v>
      </c>
      <c r="G198" s="165">
        <f aca="true" t="shared" si="6" ref="G198:G209">D198/C198*100</f>
        <v>100</v>
      </c>
    </row>
    <row r="199" spans="1:7" ht="15">
      <c r="A199" s="174" t="s">
        <v>1167</v>
      </c>
      <c r="B199" s="40" t="s">
        <v>1005</v>
      </c>
      <c r="C199" s="171">
        <v>295.3</v>
      </c>
      <c r="D199" s="171">
        <v>295.3</v>
      </c>
      <c r="E199" s="171">
        <v>295.3</v>
      </c>
      <c r="F199" s="164">
        <f t="shared" si="5"/>
        <v>0</v>
      </c>
      <c r="G199" s="165">
        <f t="shared" si="6"/>
        <v>100</v>
      </c>
    </row>
    <row r="200" spans="1:7" ht="15">
      <c r="A200" s="172" t="s">
        <v>1167</v>
      </c>
      <c r="B200" s="40" t="s">
        <v>999</v>
      </c>
      <c r="C200" s="171">
        <v>170.3</v>
      </c>
      <c r="D200" s="171">
        <v>170.3</v>
      </c>
      <c r="E200" s="171">
        <v>0</v>
      </c>
      <c r="F200" s="164">
        <f t="shared" si="5"/>
        <v>170.3</v>
      </c>
      <c r="G200" s="165">
        <f t="shared" si="6"/>
        <v>100</v>
      </c>
    </row>
    <row r="201" spans="1:7" ht="15">
      <c r="A201" s="172" t="s">
        <v>1167</v>
      </c>
      <c r="B201" s="40" t="s">
        <v>1002</v>
      </c>
      <c r="C201" s="171">
        <v>102.2</v>
      </c>
      <c r="D201" s="171">
        <v>102.2</v>
      </c>
      <c r="E201" s="171">
        <v>0</v>
      </c>
      <c r="F201" s="164">
        <f t="shared" si="5"/>
        <v>102.2</v>
      </c>
      <c r="G201" s="165">
        <f t="shared" si="6"/>
        <v>100</v>
      </c>
    </row>
    <row r="202" spans="1:7" ht="15">
      <c r="A202" s="172" t="s">
        <v>1167</v>
      </c>
      <c r="B202" s="40" t="s">
        <v>1168</v>
      </c>
      <c r="C202" s="171">
        <v>844.1</v>
      </c>
      <c r="D202" s="171">
        <v>844.1</v>
      </c>
      <c r="E202" s="171">
        <v>808.13</v>
      </c>
      <c r="F202" s="164">
        <f t="shared" si="5"/>
        <v>35.97000000000003</v>
      </c>
      <c r="G202" s="165">
        <f t="shared" si="6"/>
        <v>100</v>
      </c>
    </row>
    <row r="203" spans="1:7" ht="15">
      <c r="A203" s="172" t="s">
        <v>1167</v>
      </c>
      <c r="B203" s="40" t="s">
        <v>1168</v>
      </c>
      <c r="C203" s="171">
        <v>4290.3</v>
      </c>
      <c r="D203" s="171">
        <v>4253.4</v>
      </c>
      <c r="E203" s="171">
        <v>3126.52</v>
      </c>
      <c r="F203" s="164">
        <f>C203-E203</f>
        <v>1163.7800000000002</v>
      </c>
      <c r="G203" s="165">
        <f t="shared" si="6"/>
        <v>99.13992028529472</v>
      </c>
    </row>
    <row r="204" spans="1:7" ht="15">
      <c r="A204" s="172" t="s">
        <v>1169</v>
      </c>
      <c r="B204" s="40" t="s">
        <v>1170</v>
      </c>
      <c r="C204" s="171">
        <v>1003</v>
      </c>
      <c r="D204" s="171">
        <v>0</v>
      </c>
      <c r="E204" s="171">
        <v>0</v>
      </c>
      <c r="F204" s="164">
        <f>C204-E204</f>
        <v>1003</v>
      </c>
      <c r="G204" s="165">
        <f t="shared" si="6"/>
        <v>0</v>
      </c>
    </row>
    <row r="205" spans="1:7" ht="15">
      <c r="A205" s="174" t="s">
        <v>1171</v>
      </c>
      <c r="B205" s="40" t="s">
        <v>1172</v>
      </c>
      <c r="C205" s="175">
        <v>661.99</v>
      </c>
      <c r="D205" s="175">
        <v>0</v>
      </c>
      <c r="E205" s="175">
        <v>0</v>
      </c>
      <c r="F205" s="176">
        <f>C205-E205</f>
        <v>661.99</v>
      </c>
      <c r="G205" s="177">
        <f t="shared" si="6"/>
        <v>0</v>
      </c>
    </row>
    <row r="206" spans="1:7" ht="15">
      <c r="A206" s="174" t="s">
        <v>1173</v>
      </c>
      <c r="B206" s="178" t="s">
        <v>1077</v>
      </c>
      <c r="C206" s="63">
        <v>-527.3</v>
      </c>
      <c r="D206" s="179"/>
      <c r="E206" s="179"/>
      <c r="F206" s="179"/>
      <c r="G206" s="177">
        <f t="shared" si="6"/>
        <v>0</v>
      </c>
    </row>
    <row r="207" spans="1:7" ht="15">
      <c r="A207" s="174" t="s">
        <v>1174</v>
      </c>
      <c r="B207" s="180" t="s">
        <v>1075</v>
      </c>
      <c r="C207" s="181">
        <v>-5.1</v>
      </c>
      <c r="D207" s="182"/>
      <c r="E207" s="182"/>
      <c r="F207" s="182"/>
      <c r="G207" s="177">
        <f t="shared" si="6"/>
        <v>0</v>
      </c>
    </row>
    <row r="208" spans="1:7" ht="15">
      <c r="A208" s="183" t="s">
        <v>1175</v>
      </c>
      <c r="B208" s="184" t="s">
        <v>1176</v>
      </c>
      <c r="C208" s="63">
        <v>-4</v>
      </c>
      <c r="D208" s="179"/>
      <c r="E208" s="179"/>
      <c r="F208" s="179"/>
      <c r="G208" s="165">
        <f t="shared" si="6"/>
        <v>0</v>
      </c>
    </row>
    <row r="209" spans="1:7" ht="15">
      <c r="A209" s="61" t="s">
        <v>1177</v>
      </c>
      <c r="B209" s="184" t="s">
        <v>1178</v>
      </c>
      <c r="C209" s="63">
        <v>-100</v>
      </c>
      <c r="D209" s="63"/>
      <c r="E209" s="63"/>
      <c r="F209" s="63"/>
      <c r="G209" s="63">
        <f t="shared" si="6"/>
        <v>0</v>
      </c>
    </row>
  </sheetData>
  <sheetProtection/>
  <mergeCells count="6">
    <mergeCell ref="A2:G2"/>
    <mergeCell ref="C4:E4"/>
    <mergeCell ref="A4:A5"/>
    <mergeCell ref="B4:B5"/>
    <mergeCell ref="F4:F5"/>
    <mergeCell ref="G4:G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70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6:M17"/>
  <sheetViews>
    <sheetView workbookViewId="0" topLeftCell="A1">
      <selection activeCell="Q28" sqref="Q28"/>
    </sheetView>
  </sheetViews>
  <sheetFormatPr defaultColWidth="9.00390625" defaultRowHeight="14.25"/>
  <cols>
    <col min="1" max="16384" width="9.00390625" style="150" customWidth="1"/>
  </cols>
  <sheetData>
    <row r="6" spans="1:13" ht="39.75" customHeight="1">
      <c r="A6" s="388" t="s">
        <v>1179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</row>
    <row r="7" spans="1:13" ht="39.75" customHeight="1">
      <c r="A7" s="388" t="s">
        <v>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</row>
    <row r="15" ht="20.25">
      <c r="E15" s="151" t="s">
        <v>1180</v>
      </c>
    </row>
    <row r="16" ht="20.25">
      <c r="E16" s="152"/>
    </row>
    <row r="17" ht="20.25">
      <c r="E17" s="151" t="s">
        <v>3</v>
      </c>
    </row>
  </sheetData>
  <sheetProtection/>
  <mergeCells count="2">
    <mergeCell ref="A6:M6"/>
    <mergeCell ref="A7:M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H31"/>
  <sheetViews>
    <sheetView workbookViewId="0" topLeftCell="A13">
      <selection activeCell="C20" activeCellId="1" sqref="C23 C20"/>
    </sheetView>
  </sheetViews>
  <sheetFormatPr defaultColWidth="9.00390625" defaultRowHeight="14.25"/>
  <cols>
    <col min="1" max="1" width="43.25390625" style="113" customWidth="1"/>
    <col min="2" max="2" width="13.625" style="114" customWidth="1"/>
    <col min="3" max="3" width="18.25390625" style="114" bestFit="1" customWidth="1"/>
    <col min="4" max="4" width="12.75390625" style="113" customWidth="1"/>
    <col min="5" max="5" width="13.75390625" style="113" customWidth="1"/>
    <col min="6" max="6" width="15.25390625" style="113" customWidth="1"/>
    <col min="7" max="7" width="13.625" style="113" customWidth="1"/>
    <col min="8" max="8" width="10.50390625" style="113" bestFit="1" customWidth="1"/>
    <col min="9" max="10" width="14.625" style="113" bestFit="1" customWidth="1"/>
    <col min="11" max="12" width="13.25390625" style="113" bestFit="1" customWidth="1"/>
    <col min="13" max="16384" width="9.00390625" style="113" customWidth="1"/>
  </cols>
  <sheetData>
    <row r="1" ht="12.75">
      <c r="A1" s="115" t="s">
        <v>1181</v>
      </c>
    </row>
    <row r="2" spans="1:6" ht="20.25">
      <c r="A2" s="365" t="s">
        <v>1182</v>
      </c>
      <c r="B2" s="365"/>
      <c r="C2" s="365"/>
      <c r="D2" s="365"/>
      <c r="E2" s="365"/>
      <c r="F2" s="365"/>
    </row>
    <row r="3" spans="1:6" s="111" customFormat="1" ht="17.25">
      <c r="A3" s="116"/>
      <c r="B3" s="117"/>
      <c r="C3" s="117"/>
      <c r="F3" s="118" t="s">
        <v>6</v>
      </c>
    </row>
    <row r="4" spans="1:6" s="111" customFormat="1" ht="30.75">
      <c r="A4" s="119" t="s">
        <v>7</v>
      </c>
      <c r="B4" s="120" t="s">
        <v>8</v>
      </c>
      <c r="C4" s="120" t="s">
        <v>9</v>
      </c>
      <c r="D4" s="121" t="s">
        <v>76</v>
      </c>
      <c r="E4" s="121" t="s">
        <v>112</v>
      </c>
      <c r="F4" s="121" t="s">
        <v>1183</v>
      </c>
    </row>
    <row r="5" spans="1:6" s="111" customFormat="1" ht="17.25">
      <c r="A5" s="122" t="s">
        <v>1184</v>
      </c>
      <c r="B5" s="123">
        <f>SUM(B6:B10)</f>
        <v>1021772</v>
      </c>
      <c r="C5" s="123">
        <f>SUM(C6:C10)+C16</f>
        <v>1021771.9574439999</v>
      </c>
      <c r="D5" s="123">
        <f>SUM(D6:D10)</f>
        <v>206490</v>
      </c>
      <c r="E5" s="124">
        <f aca="true" t="shared" si="0" ref="E5:E10">IF(B5=0,0,(C5/B5*100))</f>
        <v>99.99999583507866</v>
      </c>
      <c r="F5" s="124">
        <f aca="true" t="shared" si="1" ref="F5:F10">C5/D5*100</f>
        <v>494.8287846597898</v>
      </c>
    </row>
    <row r="6" spans="1:6" s="111" customFormat="1" ht="17.25">
      <c r="A6" s="125" t="s">
        <v>1185</v>
      </c>
      <c r="B6" s="123"/>
      <c r="C6" s="126"/>
      <c r="D6" s="123"/>
      <c r="E6" s="124">
        <f t="shared" si="0"/>
        <v>0</v>
      </c>
      <c r="F6" s="124" t="e">
        <f t="shared" si="1"/>
        <v>#DIV/0!</v>
      </c>
    </row>
    <row r="7" spans="1:6" s="111" customFormat="1" ht="17.25">
      <c r="A7" s="127" t="s">
        <v>1186</v>
      </c>
      <c r="B7" s="123"/>
      <c r="C7" s="126"/>
      <c r="D7" s="123"/>
      <c r="E7" s="124">
        <f t="shared" si="0"/>
        <v>0</v>
      </c>
      <c r="F7" s="124" t="e">
        <f t="shared" si="1"/>
        <v>#DIV/0!</v>
      </c>
    </row>
    <row r="8" spans="1:6" s="111" customFormat="1" ht="17.25">
      <c r="A8" s="127" t="s">
        <v>1187</v>
      </c>
      <c r="B8" s="128">
        <v>13050</v>
      </c>
      <c r="C8" s="128">
        <f>C12*0.03+100</f>
        <v>8200.255000000001</v>
      </c>
      <c r="D8" s="129">
        <v>3710</v>
      </c>
      <c r="E8" s="124">
        <f t="shared" si="0"/>
        <v>62.837203065134105</v>
      </c>
      <c r="F8" s="124">
        <f t="shared" si="1"/>
        <v>221.03113207547173</v>
      </c>
    </row>
    <row r="9" spans="1:6" s="111" customFormat="1" ht="17.25">
      <c r="A9" s="130" t="s">
        <v>1188</v>
      </c>
      <c r="B9" s="128">
        <v>87000</v>
      </c>
      <c r="C9" s="128">
        <f>C12*0.2</f>
        <v>54001.700000000004</v>
      </c>
      <c r="D9" s="129">
        <v>24734</v>
      </c>
      <c r="E9" s="124">
        <f t="shared" si="0"/>
        <v>62.07091954022989</v>
      </c>
      <c r="F9" s="124">
        <f t="shared" si="1"/>
        <v>218.32982938465273</v>
      </c>
    </row>
    <row r="10" spans="1:6" s="111" customFormat="1" ht="17.25">
      <c r="A10" s="127" t="s">
        <v>1189</v>
      </c>
      <c r="B10" s="131">
        <v>921722</v>
      </c>
      <c r="C10" s="131">
        <f>SUM(C11:C15)</f>
        <v>953708.5</v>
      </c>
      <c r="D10" s="129">
        <f>SUM(D11:D16)</f>
        <v>178046</v>
      </c>
      <c r="E10" s="124">
        <f t="shared" si="0"/>
        <v>103.47029798572672</v>
      </c>
      <c r="F10" s="124">
        <f t="shared" si="1"/>
        <v>535.6528649899464</v>
      </c>
    </row>
    <row r="11" spans="1:6" s="111" customFormat="1" ht="17.25">
      <c r="A11" s="132" t="s">
        <v>1190</v>
      </c>
      <c r="B11" s="131"/>
      <c r="C11" s="123"/>
      <c r="D11" s="129">
        <v>2828</v>
      </c>
      <c r="E11" s="124"/>
      <c r="F11" s="124"/>
    </row>
    <row r="12" spans="1:6" s="111" customFormat="1" ht="17.25">
      <c r="A12" s="133" t="s">
        <v>1191</v>
      </c>
      <c r="B12" s="123"/>
      <c r="C12" s="126">
        <f>289000-10000-4000-225-4766.5</f>
        <v>270008.5</v>
      </c>
      <c r="D12" s="129">
        <v>76252</v>
      </c>
      <c r="E12" s="124">
        <f>IF(B12=0,0,(C12/B12*100))</f>
        <v>0</v>
      </c>
      <c r="F12" s="124">
        <f>C12/D12*100</f>
        <v>354.1002203220899</v>
      </c>
    </row>
    <row r="13" spans="1:6" s="111" customFormat="1" ht="17.25">
      <c r="A13" s="133" t="s">
        <v>1192</v>
      </c>
      <c r="B13" s="123"/>
      <c r="C13" s="126">
        <f>683800</f>
        <v>683800</v>
      </c>
      <c r="D13" s="129">
        <v>97768</v>
      </c>
      <c r="E13" s="124">
        <f>IF(B13=0,0,(C13/B13*100))</f>
        <v>0</v>
      </c>
      <c r="F13" s="124">
        <f>C13/D13*100</f>
        <v>699.4108501759267</v>
      </c>
    </row>
    <row r="14" spans="1:6" s="111" customFormat="1" ht="17.25">
      <c r="A14" s="133" t="s">
        <v>1193</v>
      </c>
      <c r="B14" s="123"/>
      <c r="C14" s="126">
        <v>-100</v>
      </c>
      <c r="D14" s="129">
        <v>-5343</v>
      </c>
      <c r="E14" s="124">
        <f>IF(B14=0,0,(C14/B14*100))</f>
        <v>0</v>
      </c>
      <c r="F14" s="124">
        <f>C14/D14*100</f>
        <v>1.8716077110237694</v>
      </c>
    </row>
    <row r="15" spans="1:6" s="111" customFormat="1" ht="17.25">
      <c r="A15" s="133" t="s">
        <v>1194</v>
      </c>
      <c r="B15" s="123"/>
      <c r="C15" s="126"/>
      <c r="D15" s="129">
        <v>226</v>
      </c>
      <c r="E15" s="124">
        <f>IF(B15=0,0,(C15/B15*100))</f>
        <v>0</v>
      </c>
      <c r="F15" s="124">
        <f>C15/D15*100</f>
        <v>0</v>
      </c>
    </row>
    <row r="16" spans="1:6" s="111" customFormat="1" ht="17.25">
      <c r="A16" s="134" t="s">
        <v>1195</v>
      </c>
      <c r="B16" s="123"/>
      <c r="C16" s="126">
        <v>5861.502444</v>
      </c>
      <c r="D16" s="129">
        <v>6315</v>
      </c>
      <c r="E16" s="124"/>
      <c r="F16" s="124"/>
    </row>
    <row r="17" spans="1:6" s="112" customFormat="1" ht="17.25">
      <c r="A17" s="135" t="s">
        <v>1196</v>
      </c>
      <c r="B17" s="131">
        <f>SUM(B18,B19,B20,B23)</f>
        <v>478298</v>
      </c>
      <c r="C17" s="131">
        <f>SUM(C18,C19,C20,C23)</f>
        <v>680032.45285</v>
      </c>
      <c r="D17" s="131">
        <f>SUM(D18:D23)</f>
        <v>224430</v>
      </c>
      <c r="E17" s="136">
        <f>IF(B17=0,0,(C17/B17*100))</f>
        <v>142.1775656285412</v>
      </c>
      <c r="F17" s="136">
        <f>C17/D17*100</f>
        <v>303.0042564942298</v>
      </c>
    </row>
    <row r="18" spans="1:6" s="112" customFormat="1" ht="17.25">
      <c r="A18" s="137" t="s">
        <v>1197</v>
      </c>
      <c r="B18" s="131"/>
      <c r="C18" s="138">
        <f>154493-434.0525-37.015+100+130.5-103.3325</f>
        <v>154149.1</v>
      </c>
      <c r="D18" s="129">
        <v>6769</v>
      </c>
      <c r="E18" s="136">
        <f>IF(B18=0,0,(C18/B18*100))</f>
        <v>0</v>
      </c>
      <c r="F18" s="136">
        <f>C18/D18*100</f>
        <v>2277.2802481902795</v>
      </c>
    </row>
    <row r="19" spans="1:8" s="112" customFormat="1" ht="17.25">
      <c r="A19" s="137" t="s">
        <v>1198</v>
      </c>
      <c r="B19" s="131">
        <f>841+1284+34+38759</f>
        <v>40918</v>
      </c>
      <c r="C19" s="131">
        <v>100628</v>
      </c>
      <c r="D19" s="129">
        <v>67561</v>
      </c>
      <c r="E19" s="136">
        <f>IF(B19=0,0,(C19/B19*100))</f>
        <v>245.92599833813972</v>
      </c>
      <c r="F19" s="136">
        <f>C19/D19*100</f>
        <v>148.94391734876632</v>
      </c>
      <c r="H19" s="139"/>
    </row>
    <row r="20" spans="1:6" s="112" customFormat="1" ht="17.25">
      <c r="A20" s="137" t="s">
        <v>1199</v>
      </c>
      <c r="B20" s="131">
        <v>437380</v>
      </c>
      <c r="C20" s="140">
        <f>SUM(C21:C22)</f>
        <v>43415.373198999994</v>
      </c>
      <c r="D20" s="129">
        <v>150100</v>
      </c>
      <c r="E20" s="136"/>
      <c r="F20" s="136"/>
    </row>
    <row r="21" spans="1:7" s="112" customFormat="1" ht="17.25">
      <c r="A21" s="141" t="s">
        <v>55</v>
      </c>
      <c r="B21" s="131"/>
      <c r="C21" s="142">
        <v>43407.3653</v>
      </c>
      <c r="D21" s="129"/>
      <c r="E21" s="136"/>
      <c r="F21" s="136"/>
      <c r="G21" s="139"/>
    </row>
    <row r="22" spans="1:6" s="112" customFormat="1" ht="17.25">
      <c r="A22" s="141" t="s">
        <v>56</v>
      </c>
      <c r="B22" s="131"/>
      <c r="C22" s="143">
        <v>8.007899</v>
      </c>
      <c r="D22" s="129"/>
      <c r="E22" s="136"/>
      <c r="F22" s="136"/>
    </row>
    <row r="23" spans="1:6" s="112" customFormat="1" ht="17.25">
      <c r="A23" s="137" t="s">
        <v>1200</v>
      </c>
      <c r="B23" s="131"/>
      <c r="C23" s="143">
        <f>225780.950183+156059.029468</f>
        <v>381839.979651</v>
      </c>
      <c r="D23" s="129"/>
      <c r="E23" s="136">
        <f aca="true" t="shared" si="2" ref="E23:E31">IF(B23=0,0,(C23/B23*100))</f>
        <v>0</v>
      </c>
      <c r="F23" s="136" t="e">
        <f aca="true" t="shared" si="3" ref="F23:F31">C23/D23*100</f>
        <v>#DIV/0!</v>
      </c>
    </row>
    <row r="24" spans="1:6" s="112" customFormat="1" ht="17.25">
      <c r="A24" s="144" t="s">
        <v>1201</v>
      </c>
      <c r="B24" s="131">
        <f>SUM(B25:B25)</f>
        <v>0</v>
      </c>
      <c r="C24" s="131">
        <f>SUM(C25:C26)</f>
        <v>36264.186597</v>
      </c>
      <c r="D24" s="131">
        <f>SUM(D25:D26)</f>
        <v>55087</v>
      </c>
      <c r="E24" s="136">
        <f t="shared" si="2"/>
        <v>0</v>
      </c>
      <c r="F24" s="136">
        <f t="shared" si="3"/>
        <v>65.83075244068473</v>
      </c>
    </row>
    <row r="25" spans="1:6" s="112" customFormat="1" ht="17.25">
      <c r="A25" s="137" t="s">
        <v>1202</v>
      </c>
      <c r="B25" s="131"/>
      <c r="C25" s="145">
        <v>36264.186597</v>
      </c>
      <c r="D25" s="145">
        <v>55087</v>
      </c>
      <c r="E25" s="136">
        <f t="shared" si="2"/>
        <v>0</v>
      </c>
      <c r="F25" s="136">
        <f t="shared" si="3"/>
        <v>65.83075244068473</v>
      </c>
    </row>
    <row r="26" spans="1:6" s="112" customFormat="1" ht="17.25">
      <c r="A26" s="137" t="s">
        <v>1203</v>
      </c>
      <c r="B26" s="131"/>
      <c r="C26" s="146"/>
      <c r="D26" s="131"/>
      <c r="E26" s="136">
        <f t="shared" si="2"/>
        <v>0</v>
      </c>
      <c r="F26" s="136" t="e">
        <f t="shared" si="3"/>
        <v>#DIV/0!</v>
      </c>
    </row>
    <row r="27" spans="1:6" s="112" customFormat="1" ht="17.25">
      <c r="A27" s="135" t="s">
        <v>1204</v>
      </c>
      <c r="B27" s="131">
        <f>SUM(B5+B17-B24)</f>
        <v>1500070</v>
      </c>
      <c r="C27" s="146">
        <f>C5+C17-C24</f>
        <v>1665540.223697</v>
      </c>
      <c r="D27" s="131">
        <f>SUM(D5+D17-D24)</f>
        <v>375833</v>
      </c>
      <c r="E27" s="136">
        <f t="shared" si="2"/>
        <v>111.03083347423785</v>
      </c>
      <c r="F27" s="136">
        <f t="shared" si="3"/>
        <v>443.1596543403586</v>
      </c>
    </row>
    <row r="28" spans="1:6" s="112" customFormat="1" ht="17.25">
      <c r="A28" s="144" t="s">
        <v>1205</v>
      </c>
      <c r="B28" s="131"/>
      <c r="C28" s="146">
        <f>C29+C30</f>
        <v>364000</v>
      </c>
      <c r="D28" s="146">
        <f>D29+D30</f>
        <v>230000</v>
      </c>
      <c r="E28" s="136">
        <f t="shared" si="2"/>
        <v>0</v>
      </c>
      <c r="F28" s="136">
        <f t="shared" si="3"/>
        <v>158.26086956521738</v>
      </c>
    </row>
    <row r="29" spans="1:6" s="112" customFormat="1" ht="17.25">
      <c r="A29" s="147" t="s">
        <v>1206</v>
      </c>
      <c r="B29" s="131"/>
      <c r="C29" s="146">
        <v>340000</v>
      </c>
      <c r="D29" s="145">
        <v>230000</v>
      </c>
      <c r="E29" s="136">
        <f t="shared" si="2"/>
        <v>0</v>
      </c>
      <c r="F29" s="136">
        <f t="shared" si="3"/>
        <v>147.82608695652172</v>
      </c>
    </row>
    <row r="30" spans="1:6" s="111" customFormat="1" ht="17.25">
      <c r="A30" s="148" t="s">
        <v>1207</v>
      </c>
      <c r="B30" s="123"/>
      <c r="C30" s="146">
        <v>24000</v>
      </c>
      <c r="D30" s="123"/>
      <c r="E30" s="124">
        <f t="shared" si="2"/>
        <v>0</v>
      </c>
      <c r="F30" s="124" t="e">
        <f t="shared" si="3"/>
        <v>#DIV/0!</v>
      </c>
    </row>
    <row r="31" spans="1:6" s="111" customFormat="1" ht="17.25">
      <c r="A31" s="149" t="s">
        <v>67</v>
      </c>
      <c r="B31" s="123">
        <f>SUM(B27:B28)</f>
        <v>1500070</v>
      </c>
      <c r="C31" s="123">
        <f>C27+C28</f>
        <v>2029540.223697</v>
      </c>
      <c r="D31" s="123">
        <f>SUM(D27:D28)</f>
        <v>605833</v>
      </c>
      <c r="E31" s="124">
        <f t="shared" si="2"/>
        <v>135.29636774930503</v>
      </c>
      <c r="F31" s="124">
        <f t="shared" si="3"/>
        <v>334.99994613977776</v>
      </c>
    </row>
  </sheetData>
  <sheetProtection/>
  <mergeCells count="1">
    <mergeCell ref="A2:F2"/>
  </mergeCells>
  <printOptions horizontalCentered="1"/>
  <pageMargins left="0.7086614173228347" right="0.7086614173228347" top="0.3937007874015748" bottom="0.4724409448818898" header="0.1968503937007874" footer="0.15748031496062992"/>
  <pageSetup horizontalDpi="600" verticalDpi="600" orientation="landscape" paperSize="9"/>
  <headerFooter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1:O19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9" sqref="D19"/>
    </sheetView>
  </sheetViews>
  <sheetFormatPr defaultColWidth="9.00390625" defaultRowHeight="14.25"/>
  <cols>
    <col min="1" max="1" width="36.00390625" style="89" customWidth="1"/>
    <col min="2" max="2" width="14.25390625" style="89" customWidth="1"/>
    <col min="3" max="3" width="13.50390625" style="89" customWidth="1"/>
    <col min="4" max="4" width="11.75390625" style="89" customWidth="1"/>
    <col min="5" max="5" width="11.625" style="89" bestFit="1" customWidth="1"/>
    <col min="6" max="6" width="10.50390625" style="89" bestFit="1" customWidth="1"/>
    <col min="7" max="7" width="13.75390625" style="89" bestFit="1" customWidth="1"/>
    <col min="8" max="8" width="16.00390625" style="89" customWidth="1"/>
    <col min="9" max="16384" width="9.00390625" style="89" customWidth="1"/>
  </cols>
  <sheetData>
    <row r="1" ht="12">
      <c r="A1" s="90" t="s">
        <v>1208</v>
      </c>
    </row>
    <row r="2" spans="1:15" ht="30" customHeight="1">
      <c r="A2" s="365" t="s">
        <v>1209</v>
      </c>
      <c r="B2" s="365"/>
      <c r="C2" s="365"/>
      <c r="D2" s="365"/>
      <c r="E2" s="365"/>
      <c r="F2" s="365"/>
      <c r="G2" s="365"/>
      <c r="H2" s="365"/>
      <c r="I2" s="364"/>
      <c r="J2" s="364"/>
      <c r="K2" s="364"/>
      <c r="L2" s="364"/>
      <c r="M2" s="364"/>
      <c r="N2" s="364"/>
      <c r="O2" s="364"/>
    </row>
    <row r="3" spans="1:8" ht="15" customHeight="1">
      <c r="A3" s="91"/>
      <c r="H3" s="92" t="s">
        <v>6</v>
      </c>
    </row>
    <row r="4" spans="1:8" s="88" customFormat="1" ht="39.75" customHeight="1">
      <c r="A4" s="93" t="s">
        <v>74</v>
      </c>
      <c r="B4" s="93" t="s">
        <v>8</v>
      </c>
      <c r="C4" s="93" t="s">
        <v>9</v>
      </c>
      <c r="D4" s="93" t="s">
        <v>110</v>
      </c>
      <c r="E4" s="93" t="s">
        <v>112</v>
      </c>
      <c r="F4" s="93" t="s">
        <v>120</v>
      </c>
      <c r="G4" s="93" t="s">
        <v>1210</v>
      </c>
      <c r="H4" s="93" t="s">
        <v>121</v>
      </c>
    </row>
    <row r="5" spans="1:10" ht="19.5" customHeight="1">
      <c r="A5" s="94" t="s">
        <v>80</v>
      </c>
      <c r="B5" s="95">
        <f>SUM(B6,B14)</f>
        <v>1500070</v>
      </c>
      <c r="C5" s="95">
        <f>SUM(C6,C14)</f>
        <v>2029539.8213</v>
      </c>
      <c r="D5" s="95">
        <f>SUM(D6,D14)</f>
        <v>1952614.345</v>
      </c>
      <c r="E5" s="96">
        <f>IF(B5=0,0,D5/B5*100)</f>
        <v>130.16821514995968</v>
      </c>
      <c r="F5" s="96">
        <f>IF(C5=0,0,D5/C5*100)</f>
        <v>96.20970845249411</v>
      </c>
      <c r="G5" s="97">
        <f>SUM(G6+G14)</f>
        <v>505205</v>
      </c>
      <c r="H5" s="98">
        <f>IF(G5=0,0,D5/G5*100)</f>
        <v>386.49941014043804</v>
      </c>
      <c r="J5" s="109"/>
    </row>
    <row r="6" spans="1:10" ht="19.5" customHeight="1">
      <c r="A6" s="99" t="s">
        <v>1211</v>
      </c>
      <c r="B6" s="95">
        <f>B7</f>
        <v>1476070</v>
      </c>
      <c r="C6" s="95">
        <f>C7</f>
        <v>2005539.8213</v>
      </c>
      <c r="D6" s="95">
        <f>D7</f>
        <v>1928614.345</v>
      </c>
      <c r="E6" s="96">
        <f aca="true" t="shared" si="0" ref="E6:E16">IF(B6=0,0,D6/B6*100)</f>
        <v>130.658731970706</v>
      </c>
      <c r="F6" s="96">
        <f aca="true" t="shared" si="1" ref="F6:F16">IF(C6=0,0,D6/C6*100)</f>
        <v>96.16435059114725</v>
      </c>
      <c r="G6" s="97">
        <f>G7</f>
        <v>505205</v>
      </c>
      <c r="H6" s="98">
        <f aca="true" t="shared" si="2" ref="H6:H16">IF(G6=0,0,D6/G6*100)</f>
        <v>381.7488633327065</v>
      </c>
      <c r="J6" s="109"/>
    </row>
    <row r="7" spans="1:10" ht="19.5" customHeight="1">
      <c r="A7" s="99" t="s">
        <v>1212</v>
      </c>
      <c r="B7" s="95">
        <f>SUM(B8:B13)</f>
        <v>1476070</v>
      </c>
      <c r="C7" s="95">
        <f>SUM(C8:C13)</f>
        <v>2005539.8213</v>
      </c>
      <c r="D7" s="95">
        <f>SUM(D8:D13)</f>
        <v>1928614.345</v>
      </c>
      <c r="E7" s="96">
        <f t="shared" si="0"/>
        <v>130.658731970706</v>
      </c>
      <c r="F7" s="96">
        <f t="shared" si="1"/>
        <v>96.16435059114725</v>
      </c>
      <c r="G7" s="97">
        <f>SUM(G8:G13)</f>
        <v>505205</v>
      </c>
      <c r="H7" s="98">
        <f t="shared" si="2"/>
        <v>381.7488633327065</v>
      </c>
      <c r="I7" s="110"/>
      <c r="J7" s="109"/>
    </row>
    <row r="8" spans="1:10" ht="19.5" customHeight="1">
      <c r="A8" s="100" t="s">
        <v>132</v>
      </c>
      <c r="B8" s="101">
        <v>1443606</v>
      </c>
      <c r="C8" s="102">
        <v>1969726.01</v>
      </c>
      <c r="D8" s="95">
        <v>1893392</v>
      </c>
      <c r="E8" s="96">
        <f t="shared" si="0"/>
        <v>131.15711627687887</v>
      </c>
      <c r="F8" s="96">
        <f t="shared" si="1"/>
        <v>96.12463816731547</v>
      </c>
      <c r="G8" s="97">
        <v>481109</v>
      </c>
      <c r="H8" s="98">
        <f t="shared" si="2"/>
        <v>393.5474081756941</v>
      </c>
      <c r="J8" s="109"/>
    </row>
    <row r="9" spans="1:10" ht="19.5" customHeight="1">
      <c r="A9" s="100" t="s">
        <v>1213</v>
      </c>
      <c r="B9" s="95"/>
      <c r="C9" s="95"/>
      <c r="D9" s="95"/>
      <c r="E9" s="96">
        <f t="shared" si="0"/>
        <v>0</v>
      </c>
      <c r="F9" s="96">
        <f t="shared" si="1"/>
        <v>0</v>
      </c>
      <c r="G9" s="97">
        <v>21</v>
      </c>
      <c r="H9" s="98">
        <f t="shared" si="2"/>
        <v>0</v>
      </c>
      <c r="J9" s="109"/>
    </row>
    <row r="10" spans="1:10" ht="19.5" customHeight="1">
      <c r="A10" s="100" t="s">
        <v>136</v>
      </c>
      <c r="B10" s="95"/>
      <c r="C10" s="95"/>
      <c r="D10" s="95"/>
      <c r="E10" s="96">
        <f t="shared" si="0"/>
        <v>0</v>
      </c>
      <c r="F10" s="96">
        <f t="shared" si="1"/>
        <v>0</v>
      </c>
      <c r="G10" s="97"/>
      <c r="H10" s="98">
        <f t="shared" si="2"/>
        <v>0</v>
      </c>
      <c r="J10" s="109"/>
    </row>
    <row r="11" spans="1:10" ht="19.5" customHeight="1">
      <c r="A11" s="100" t="s">
        <v>139</v>
      </c>
      <c r="B11" s="101">
        <v>841</v>
      </c>
      <c r="C11" s="95">
        <v>3826.8113000000003</v>
      </c>
      <c r="D11" s="95">
        <v>3235.345</v>
      </c>
      <c r="E11" s="96">
        <f t="shared" si="0"/>
        <v>384.7021403091557</v>
      </c>
      <c r="F11" s="96">
        <f t="shared" si="1"/>
        <v>84.54414776082635</v>
      </c>
      <c r="G11" s="97">
        <v>1882</v>
      </c>
      <c r="H11" s="98">
        <f t="shared" si="2"/>
        <v>171.90993623804462</v>
      </c>
      <c r="J11" s="109"/>
    </row>
    <row r="12" spans="1:10" ht="19.5" customHeight="1">
      <c r="A12" s="100" t="s">
        <v>146</v>
      </c>
      <c r="B12" s="101">
        <v>31623</v>
      </c>
      <c r="C12" s="101">
        <v>31623</v>
      </c>
      <c r="D12" s="101">
        <v>31623</v>
      </c>
      <c r="E12" s="96">
        <f t="shared" si="0"/>
        <v>100</v>
      </c>
      <c r="F12" s="96">
        <f t="shared" si="1"/>
        <v>100</v>
      </c>
      <c r="G12" s="103">
        <v>21963</v>
      </c>
      <c r="H12" s="98">
        <f t="shared" si="2"/>
        <v>143.98306242316622</v>
      </c>
      <c r="J12" s="109">
        <f>C12-D12</f>
        <v>0</v>
      </c>
    </row>
    <row r="13" spans="1:8" ht="19.5" customHeight="1">
      <c r="A13" s="100" t="s">
        <v>147</v>
      </c>
      <c r="B13" s="95"/>
      <c r="C13" s="95">
        <v>364</v>
      </c>
      <c r="D13" s="95">
        <v>364</v>
      </c>
      <c r="E13" s="96">
        <f t="shared" si="0"/>
        <v>0</v>
      </c>
      <c r="F13" s="96">
        <f t="shared" si="1"/>
        <v>100</v>
      </c>
      <c r="G13" s="103">
        <v>230</v>
      </c>
      <c r="H13" s="98">
        <f t="shared" si="2"/>
        <v>158.26086956521738</v>
      </c>
    </row>
    <row r="14" spans="1:8" ht="19.5" customHeight="1">
      <c r="A14" s="99" t="s">
        <v>150</v>
      </c>
      <c r="B14" s="95">
        <f>SUM(B15)</f>
        <v>24000</v>
      </c>
      <c r="C14" s="95">
        <f>C15</f>
        <v>24000</v>
      </c>
      <c r="D14" s="95">
        <f>D15</f>
        <v>24000</v>
      </c>
      <c r="E14" s="96">
        <f t="shared" si="0"/>
        <v>100</v>
      </c>
      <c r="F14" s="96">
        <f t="shared" si="1"/>
        <v>100</v>
      </c>
      <c r="G14" s="97">
        <f>G15</f>
        <v>0</v>
      </c>
      <c r="H14" s="98">
        <f t="shared" si="2"/>
        <v>0</v>
      </c>
    </row>
    <row r="15" spans="1:8" ht="19.5" customHeight="1">
      <c r="A15" s="100" t="s">
        <v>1212</v>
      </c>
      <c r="B15" s="95">
        <f>SUM(B16)</f>
        <v>24000</v>
      </c>
      <c r="C15" s="95">
        <f>C16</f>
        <v>24000</v>
      </c>
      <c r="D15" s="95">
        <f>D16</f>
        <v>24000</v>
      </c>
      <c r="E15" s="96">
        <f t="shared" si="0"/>
        <v>100</v>
      </c>
      <c r="F15" s="96">
        <f t="shared" si="1"/>
        <v>100</v>
      </c>
      <c r="G15" s="97">
        <f>G16</f>
        <v>0</v>
      </c>
      <c r="H15" s="98">
        <f t="shared" si="2"/>
        <v>0</v>
      </c>
    </row>
    <row r="16" spans="1:8" ht="19.5" customHeight="1">
      <c r="A16" s="104" t="s">
        <v>151</v>
      </c>
      <c r="B16" s="101">
        <v>24000</v>
      </c>
      <c r="C16" s="101">
        <v>24000</v>
      </c>
      <c r="D16" s="101">
        <v>24000</v>
      </c>
      <c r="E16" s="96">
        <f t="shared" si="0"/>
        <v>100</v>
      </c>
      <c r="F16" s="105">
        <f t="shared" si="1"/>
        <v>100</v>
      </c>
      <c r="G16" s="106"/>
      <c r="H16" s="106">
        <f t="shared" si="2"/>
        <v>0</v>
      </c>
    </row>
    <row r="17" ht="19.5" customHeight="1">
      <c r="D17" s="107"/>
    </row>
    <row r="18" ht="19.5" customHeight="1">
      <c r="A18" s="108"/>
    </row>
    <row r="19" spans="1:4" ht="19.5" customHeight="1">
      <c r="A19" s="108"/>
      <c r="D19" s="109"/>
    </row>
  </sheetData>
  <sheetProtection/>
  <mergeCells count="2">
    <mergeCell ref="A2:H2"/>
    <mergeCell ref="I2:O2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85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F52"/>
  <sheetViews>
    <sheetView workbookViewId="0" topLeftCell="A1">
      <selection activeCell="C14" sqref="C14"/>
    </sheetView>
  </sheetViews>
  <sheetFormatPr defaultColWidth="9.00390625" defaultRowHeight="14.25"/>
  <cols>
    <col min="1" max="1" width="69.25390625" style="68" customWidth="1"/>
    <col min="2" max="2" width="12.125" style="68" customWidth="1"/>
    <col min="3" max="3" width="12.75390625" style="68" customWidth="1"/>
    <col min="4" max="4" width="13.25390625" style="68" customWidth="1"/>
    <col min="5" max="6" width="9.75390625" style="68" customWidth="1"/>
    <col min="7" max="16384" width="9.00390625" style="68" customWidth="1"/>
  </cols>
  <sheetData>
    <row r="1" ht="12.75">
      <c r="A1" s="69" t="s">
        <v>1214</v>
      </c>
    </row>
    <row r="2" spans="1:6" ht="20.25">
      <c r="A2" s="364" t="s">
        <v>1215</v>
      </c>
      <c r="B2" s="364"/>
      <c r="C2" s="364"/>
      <c r="D2" s="364"/>
      <c r="E2" s="364"/>
      <c r="F2" s="364"/>
    </row>
    <row r="3" spans="1:6" ht="12.75">
      <c r="A3" s="70"/>
      <c r="D3" s="71"/>
      <c r="F3" s="72" t="s">
        <v>6</v>
      </c>
    </row>
    <row r="4" spans="1:6" ht="28.5">
      <c r="A4" s="73" t="s">
        <v>74</v>
      </c>
      <c r="B4" s="74" t="s">
        <v>8</v>
      </c>
      <c r="C4" s="75" t="s">
        <v>9</v>
      </c>
      <c r="D4" s="75" t="s">
        <v>110</v>
      </c>
      <c r="E4" s="75" t="s">
        <v>112</v>
      </c>
      <c r="F4" s="75" t="s">
        <v>120</v>
      </c>
    </row>
    <row r="5" spans="1:6" ht="19.5" customHeight="1">
      <c r="A5" s="73" t="s">
        <v>80</v>
      </c>
      <c r="B5" s="76">
        <f>SUM(B6,B49)</f>
        <v>1500070</v>
      </c>
      <c r="C5" s="76">
        <f>SUM(C6,C49)</f>
        <v>2029539.8213</v>
      </c>
      <c r="D5" s="76">
        <f>SUM(D6,D49)</f>
        <v>1952614.345</v>
      </c>
      <c r="E5" s="77">
        <f aca="true" t="shared" si="0" ref="E5:E52">IF(B5=0,0,D5/B5*100)</f>
        <v>130.16821514995968</v>
      </c>
      <c r="F5" s="77">
        <f aca="true" t="shared" si="1" ref="F5:F52">D5/C5*100</f>
        <v>96.20970845249411</v>
      </c>
    </row>
    <row r="6" spans="1:6" ht="19.5" customHeight="1">
      <c r="A6" s="78" t="s">
        <v>1211</v>
      </c>
      <c r="B6" s="76">
        <f>SUM(B7,B28,B33,B36,B43,B46)-2</f>
        <v>1476070</v>
      </c>
      <c r="C6" s="76">
        <f>SUM(C7,C28,C33,C36,C43,C46)</f>
        <v>2005539.8213</v>
      </c>
      <c r="D6" s="76">
        <f>SUM(D7,D28,D33,D36,D43,D46)</f>
        <v>1928614.345</v>
      </c>
      <c r="E6" s="77">
        <f t="shared" si="0"/>
        <v>130.658731970706</v>
      </c>
      <c r="F6" s="77">
        <f t="shared" si="1"/>
        <v>96.16435059114725</v>
      </c>
    </row>
    <row r="7" spans="1:6" ht="19.5" customHeight="1">
      <c r="A7" s="79" t="s">
        <v>90</v>
      </c>
      <c r="B7" s="76">
        <f>SUM(B8,B12,B14,B15,B17,B20,B24,B26)+1</f>
        <v>1443607</v>
      </c>
      <c r="C7" s="76">
        <f>SUM(C8,C12,C14,C15,C17,C20,C24,C26)+1</f>
        <v>1969726.01</v>
      </c>
      <c r="D7" s="76">
        <f>SUM(D8,D12,D14,D15,D17,D20,D24,D26)</f>
        <v>1893392</v>
      </c>
      <c r="E7" s="77">
        <f t="shared" si="0"/>
        <v>131.15702542312414</v>
      </c>
      <c r="F7" s="77">
        <f t="shared" si="1"/>
        <v>96.12463816731547</v>
      </c>
    </row>
    <row r="8" spans="1:6" ht="19.5" customHeight="1">
      <c r="A8" s="79" t="s">
        <v>1216</v>
      </c>
      <c r="B8" s="76">
        <f>SUM(B9:B11)</f>
        <v>1332214</v>
      </c>
      <c r="C8" s="76">
        <f>SUM(C9:C11)</f>
        <v>1564738</v>
      </c>
      <c r="D8" s="76">
        <f>SUM(D9:D11)</f>
        <v>1502413</v>
      </c>
      <c r="E8" s="77">
        <f t="shared" si="0"/>
        <v>112.77565015830791</v>
      </c>
      <c r="F8" s="77">
        <f t="shared" si="1"/>
        <v>96.0169050665351</v>
      </c>
    </row>
    <row r="9" spans="1:6" ht="19.5" customHeight="1">
      <c r="A9" s="79" t="s">
        <v>1217</v>
      </c>
      <c r="B9" s="80">
        <v>655016</v>
      </c>
      <c r="C9" s="81">
        <f>1109757+2955</f>
        <v>1112712</v>
      </c>
      <c r="D9" s="81">
        <f>1109757+2955</f>
        <v>1112712</v>
      </c>
      <c r="E9" s="77">
        <f t="shared" si="0"/>
        <v>169.87554502485435</v>
      </c>
      <c r="F9" s="77">
        <f t="shared" si="1"/>
        <v>100</v>
      </c>
    </row>
    <row r="10" spans="1:6" ht="19.5" customHeight="1">
      <c r="A10" s="79" t="s">
        <v>1218</v>
      </c>
      <c r="B10" s="80">
        <v>357979</v>
      </c>
      <c r="C10" s="81">
        <f>240131-2955</f>
        <v>237176</v>
      </c>
      <c r="D10" s="81">
        <f>214445-2955</f>
        <v>211490</v>
      </c>
      <c r="E10" s="77">
        <f t="shared" si="0"/>
        <v>59.07888451557214</v>
      </c>
      <c r="F10" s="77">
        <f t="shared" si="1"/>
        <v>89.17006779775357</v>
      </c>
    </row>
    <row r="11" spans="1:6" ht="19.5" customHeight="1">
      <c r="A11" s="79" t="s">
        <v>1219</v>
      </c>
      <c r="B11" s="80">
        <v>319219</v>
      </c>
      <c r="C11" s="81">
        <v>214850</v>
      </c>
      <c r="D11" s="81">
        <v>178211</v>
      </c>
      <c r="E11" s="77">
        <f t="shared" si="0"/>
        <v>55.82719073739345</v>
      </c>
      <c r="F11" s="77">
        <f t="shared" si="1"/>
        <v>82.94670700488713</v>
      </c>
    </row>
    <row r="12" spans="1:6" ht="19.5" customHeight="1">
      <c r="A12" s="79" t="s">
        <v>1220</v>
      </c>
      <c r="B12" s="76">
        <f>SUM(B13)</f>
        <v>13050</v>
      </c>
      <c r="C12" s="76">
        <f>SUM(C13)</f>
        <v>11250</v>
      </c>
      <c r="D12" s="76">
        <f>SUM(D13)</f>
        <v>10200</v>
      </c>
      <c r="E12" s="77">
        <f t="shared" si="0"/>
        <v>78.16091954022988</v>
      </c>
      <c r="F12" s="77">
        <f t="shared" si="1"/>
        <v>90.66666666666666</v>
      </c>
    </row>
    <row r="13" spans="1:6" ht="19.5" customHeight="1">
      <c r="A13" s="79" t="s">
        <v>1221</v>
      </c>
      <c r="B13" s="80">
        <v>13050</v>
      </c>
      <c r="C13" s="76">
        <v>11250</v>
      </c>
      <c r="D13" s="76">
        <v>10200</v>
      </c>
      <c r="E13" s="77">
        <f t="shared" si="0"/>
        <v>78.16091954022988</v>
      </c>
      <c r="F13" s="77">
        <f t="shared" si="1"/>
        <v>90.66666666666666</v>
      </c>
    </row>
    <row r="14" spans="1:6" ht="19.5" customHeight="1">
      <c r="A14" s="79" t="s">
        <v>1222</v>
      </c>
      <c r="B14" s="80">
        <v>92027</v>
      </c>
      <c r="C14" s="76">
        <v>61884</v>
      </c>
      <c r="D14" s="76">
        <v>54884</v>
      </c>
      <c r="E14" s="77">
        <f t="shared" si="0"/>
        <v>59.639018983559176</v>
      </c>
      <c r="F14" s="77">
        <f t="shared" si="1"/>
        <v>88.68851399392412</v>
      </c>
    </row>
    <row r="15" spans="1:6" ht="19.5" customHeight="1">
      <c r="A15" s="79" t="s">
        <v>1223</v>
      </c>
      <c r="B15" s="76">
        <f>SUM(B16)</f>
        <v>0</v>
      </c>
      <c r="C15" s="76">
        <f>SUM(C16)</f>
        <v>0</v>
      </c>
      <c r="D15" s="76">
        <f>SUM(D16)</f>
        <v>0</v>
      </c>
      <c r="E15" s="77">
        <f t="shared" si="0"/>
        <v>0</v>
      </c>
      <c r="F15" s="77" t="e">
        <f t="shared" si="1"/>
        <v>#DIV/0!</v>
      </c>
    </row>
    <row r="16" spans="1:6" ht="19.5" customHeight="1">
      <c r="A16" s="79" t="s">
        <v>1224</v>
      </c>
      <c r="B16" s="82"/>
      <c r="C16" s="76"/>
      <c r="D16" s="76"/>
      <c r="E16" s="77">
        <f t="shared" si="0"/>
        <v>0</v>
      </c>
      <c r="F16" s="77" t="e">
        <f t="shared" si="1"/>
        <v>#DIV/0!</v>
      </c>
    </row>
    <row r="17" spans="1:6" ht="19.5" customHeight="1">
      <c r="A17" s="83" t="s">
        <v>1225</v>
      </c>
      <c r="B17" s="82">
        <f>SUM(B18:B19)</f>
        <v>6315</v>
      </c>
      <c r="C17" s="82">
        <f>SUM(C18:C19)</f>
        <v>11853.01</v>
      </c>
      <c r="D17" s="82">
        <f>SUM(D18:D19)</f>
        <v>5895</v>
      </c>
      <c r="E17" s="77">
        <f t="shared" si="0"/>
        <v>93.34916864608076</v>
      </c>
      <c r="F17" s="77">
        <f t="shared" si="1"/>
        <v>49.734202535895946</v>
      </c>
    </row>
    <row r="18" spans="1:6" ht="19.5" customHeight="1">
      <c r="A18" s="84" t="s">
        <v>1226</v>
      </c>
      <c r="B18" s="82"/>
      <c r="C18" s="76">
        <v>4097</v>
      </c>
      <c r="D18" s="76">
        <v>4000</v>
      </c>
      <c r="E18" s="77">
        <f t="shared" si="0"/>
        <v>0</v>
      </c>
      <c r="F18" s="77">
        <f t="shared" si="1"/>
        <v>97.63241396143519</v>
      </c>
    </row>
    <row r="19" spans="1:6" ht="19.5" customHeight="1">
      <c r="A19" s="85" t="s">
        <v>1227</v>
      </c>
      <c r="B19" s="80">
        <v>6315</v>
      </c>
      <c r="C19" s="76">
        <v>7756.01</v>
      </c>
      <c r="D19" s="76">
        <v>1895</v>
      </c>
      <c r="E19" s="77">
        <f t="shared" si="0"/>
        <v>30.00791765637371</v>
      </c>
      <c r="F19" s="77">
        <f t="shared" si="1"/>
        <v>24.4326657650003</v>
      </c>
    </row>
    <row r="20" spans="1:6" ht="19.5" customHeight="1">
      <c r="A20" s="79" t="s">
        <v>1228</v>
      </c>
      <c r="B20" s="86">
        <f>SUM(B21:B23)</f>
        <v>0</v>
      </c>
      <c r="C20" s="76">
        <f>SUM(C21:C23)</f>
        <v>0</v>
      </c>
      <c r="D20" s="76">
        <f>SUM(D21:D23)</f>
        <v>0</v>
      </c>
      <c r="E20" s="77">
        <f t="shared" si="0"/>
        <v>0</v>
      </c>
      <c r="F20" s="77" t="e">
        <f t="shared" si="1"/>
        <v>#DIV/0!</v>
      </c>
    </row>
    <row r="21" spans="1:6" ht="19.5" customHeight="1">
      <c r="A21" s="79" t="s">
        <v>1229</v>
      </c>
      <c r="B21" s="76"/>
      <c r="C21" s="76"/>
      <c r="D21" s="76"/>
      <c r="E21" s="77">
        <f t="shared" si="0"/>
        <v>0</v>
      </c>
      <c r="F21" s="77" t="e">
        <f t="shared" si="1"/>
        <v>#DIV/0!</v>
      </c>
    </row>
    <row r="22" spans="1:6" ht="19.5" customHeight="1">
      <c r="A22" s="79" t="s">
        <v>1230</v>
      </c>
      <c r="B22" s="81"/>
      <c r="C22" s="76"/>
      <c r="D22" s="76"/>
      <c r="E22" s="77">
        <f t="shared" si="0"/>
        <v>0</v>
      </c>
      <c r="F22" s="77" t="e">
        <f t="shared" si="1"/>
        <v>#DIV/0!</v>
      </c>
    </row>
    <row r="23" spans="1:6" ht="19.5" customHeight="1">
      <c r="A23" s="79" t="s">
        <v>1231</v>
      </c>
      <c r="B23" s="81"/>
      <c r="C23" s="76"/>
      <c r="D23" s="76"/>
      <c r="E23" s="77">
        <f t="shared" si="0"/>
        <v>0</v>
      </c>
      <c r="F23" s="77" t="e">
        <f t="shared" si="1"/>
        <v>#DIV/0!</v>
      </c>
    </row>
    <row r="24" spans="1:6" ht="19.5" customHeight="1">
      <c r="A24" s="79" t="s">
        <v>1232</v>
      </c>
      <c r="B24" s="81">
        <f>SUM(B25)</f>
        <v>0</v>
      </c>
      <c r="C24" s="76">
        <f>SUM(C25)</f>
        <v>300000</v>
      </c>
      <c r="D24" s="76">
        <f>SUM(D25)</f>
        <v>300000</v>
      </c>
      <c r="E24" s="77">
        <f t="shared" si="0"/>
        <v>0</v>
      </c>
      <c r="F24" s="77">
        <f t="shared" si="1"/>
        <v>100</v>
      </c>
    </row>
    <row r="25" spans="1:6" ht="19.5" customHeight="1">
      <c r="A25" s="79" t="s">
        <v>1233</v>
      </c>
      <c r="B25" s="81"/>
      <c r="C25" s="76">
        <v>300000</v>
      </c>
      <c r="D25" s="76">
        <v>300000</v>
      </c>
      <c r="E25" s="77">
        <f t="shared" si="0"/>
        <v>0</v>
      </c>
      <c r="F25" s="77">
        <f t="shared" si="1"/>
        <v>100</v>
      </c>
    </row>
    <row r="26" spans="1:6" ht="19.5" customHeight="1">
      <c r="A26" s="79" t="s">
        <v>1234</v>
      </c>
      <c r="B26" s="81">
        <f>SUM(B27)</f>
        <v>0</v>
      </c>
      <c r="C26" s="76">
        <f>SUM(C27)</f>
        <v>20000</v>
      </c>
      <c r="D26" s="76">
        <f>SUM(D27)</f>
        <v>20000</v>
      </c>
      <c r="E26" s="77">
        <f t="shared" si="0"/>
        <v>0</v>
      </c>
      <c r="F26" s="77">
        <f t="shared" si="1"/>
        <v>100</v>
      </c>
    </row>
    <row r="27" spans="1:6" ht="19.5" customHeight="1">
      <c r="A27" s="79" t="s">
        <v>1235</v>
      </c>
      <c r="B27" s="81"/>
      <c r="C27" s="76">
        <v>20000</v>
      </c>
      <c r="D27" s="76">
        <v>20000</v>
      </c>
      <c r="E27" s="77">
        <f t="shared" si="0"/>
        <v>0</v>
      </c>
      <c r="F27" s="77">
        <f t="shared" si="1"/>
        <v>100</v>
      </c>
    </row>
    <row r="28" spans="1:6" ht="19.5" customHeight="1">
      <c r="A28" s="79" t="s">
        <v>742</v>
      </c>
      <c r="B28" s="86">
        <f>SUM(B29,B31)</f>
        <v>0</v>
      </c>
      <c r="C28" s="76">
        <f>SUM(C29,C31)</f>
        <v>0</v>
      </c>
      <c r="D28" s="76">
        <f>SUM(D29,D31)</f>
        <v>0</v>
      </c>
      <c r="E28" s="77">
        <f t="shared" si="0"/>
        <v>0</v>
      </c>
      <c r="F28" s="77" t="e">
        <f t="shared" si="1"/>
        <v>#DIV/0!</v>
      </c>
    </row>
    <row r="29" spans="1:6" ht="19.5" customHeight="1">
      <c r="A29" s="79" t="s">
        <v>1236</v>
      </c>
      <c r="B29" s="76">
        <f>SUM(B30)</f>
        <v>0</v>
      </c>
      <c r="C29" s="76">
        <f>SUM(C30)</f>
        <v>0</v>
      </c>
      <c r="D29" s="76">
        <f>SUM(D30)</f>
        <v>0</v>
      </c>
      <c r="E29" s="77">
        <f t="shared" si="0"/>
        <v>0</v>
      </c>
      <c r="F29" s="77" t="e">
        <f t="shared" si="1"/>
        <v>#DIV/0!</v>
      </c>
    </row>
    <row r="30" spans="1:6" ht="19.5" customHeight="1">
      <c r="A30" s="79" t="s">
        <v>1237</v>
      </c>
      <c r="B30" s="76"/>
      <c r="C30" s="81"/>
      <c r="D30" s="81"/>
      <c r="E30" s="77">
        <f t="shared" si="0"/>
        <v>0</v>
      </c>
      <c r="F30" s="77" t="e">
        <f t="shared" si="1"/>
        <v>#DIV/0!</v>
      </c>
    </row>
    <row r="31" spans="1:6" ht="19.5" customHeight="1">
      <c r="A31" s="79" t="s">
        <v>1238</v>
      </c>
      <c r="B31" s="76">
        <f>SUM(B32)</f>
        <v>0</v>
      </c>
      <c r="C31" s="76">
        <f>SUM(C32)</f>
        <v>0</v>
      </c>
      <c r="D31" s="76">
        <f>SUM(D32)</f>
        <v>0</v>
      </c>
      <c r="E31" s="77">
        <f t="shared" si="0"/>
        <v>0</v>
      </c>
      <c r="F31" s="77" t="e">
        <f t="shared" si="1"/>
        <v>#DIV/0!</v>
      </c>
    </row>
    <row r="32" spans="1:6" ht="19.5" customHeight="1">
      <c r="A32" s="79" t="s">
        <v>1239</v>
      </c>
      <c r="B32" s="76"/>
      <c r="C32" s="81"/>
      <c r="D32" s="81"/>
      <c r="E32" s="77">
        <f t="shared" si="0"/>
        <v>0</v>
      </c>
      <c r="F32" s="77" t="e">
        <f t="shared" si="1"/>
        <v>#DIV/0!</v>
      </c>
    </row>
    <row r="33" spans="1:6" ht="19.5" customHeight="1">
      <c r="A33" s="79" t="s">
        <v>94</v>
      </c>
      <c r="B33" s="81">
        <f aca="true" t="shared" si="2" ref="B33:D34">SUM(B34)</f>
        <v>0</v>
      </c>
      <c r="C33" s="81">
        <f t="shared" si="2"/>
        <v>0</v>
      </c>
      <c r="D33" s="81">
        <f t="shared" si="2"/>
        <v>0</v>
      </c>
      <c r="E33" s="77">
        <f t="shared" si="0"/>
        <v>0</v>
      </c>
      <c r="F33" s="77" t="e">
        <f t="shared" si="1"/>
        <v>#DIV/0!</v>
      </c>
    </row>
    <row r="34" spans="1:6" ht="19.5" customHeight="1">
      <c r="A34" s="79" t="s">
        <v>1240</v>
      </c>
      <c r="B34" s="81">
        <f t="shared" si="2"/>
        <v>0</v>
      </c>
      <c r="C34" s="81">
        <f t="shared" si="2"/>
        <v>0</v>
      </c>
      <c r="D34" s="81">
        <f t="shared" si="2"/>
        <v>0</v>
      </c>
      <c r="E34" s="77">
        <f t="shared" si="0"/>
        <v>0</v>
      </c>
      <c r="F34" s="77" t="e">
        <f t="shared" si="1"/>
        <v>#DIV/0!</v>
      </c>
    </row>
    <row r="35" spans="1:6" ht="19.5" customHeight="1">
      <c r="A35" s="79" t="s">
        <v>1241</v>
      </c>
      <c r="B35" s="81"/>
      <c r="C35" s="81"/>
      <c r="D35" s="81"/>
      <c r="E35" s="77">
        <f t="shared" si="0"/>
        <v>0</v>
      </c>
      <c r="F35" s="77" t="e">
        <f t="shared" si="1"/>
        <v>#DIV/0!</v>
      </c>
    </row>
    <row r="36" spans="1:6" ht="19.5" customHeight="1">
      <c r="A36" s="79" t="s">
        <v>102</v>
      </c>
      <c r="B36" s="76">
        <f>SUM(B39,B37)</f>
        <v>842</v>
      </c>
      <c r="C36" s="76">
        <f>SUM(C39,C37)</f>
        <v>3826.8113000000003</v>
      </c>
      <c r="D36" s="76">
        <f>SUM(D39,D37)</f>
        <v>3235.345</v>
      </c>
      <c r="E36" s="77">
        <f t="shared" si="0"/>
        <v>384.24524940617573</v>
      </c>
      <c r="F36" s="77">
        <f t="shared" si="1"/>
        <v>84.54414776082635</v>
      </c>
    </row>
    <row r="37" spans="1:6" ht="19.5" customHeight="1">
      <c r="A37" s="79" t="s">
        <v>1242</v>
      </c>
      <c r="B37" s="76">
        <f>B38</f>
        <v>19</v>
      </c>
      <c r="C37" s="76">
        <f>C38</f>
        <v>0</v>
      </c>
      <c r="D37" s="76">
        <f>D38</f>
        <v>0</v>
      </c>
      <c r="E37" s="77">
        <f t="shared" si="0"/>
        <v>0</v>
      </c>
      <c r="F37" s="77" t="e">
        <f t="shared" si="1"/>
        <v>#DIV/0!</v>
      </c>
    </row>
    <row r="38" spans="1:6" ht="19.5" customHeight="1">
      <c r="A38" s="79" t="s">
        <v>1243</v>
      </c>
      <c r="B38" s="80">
        <v>19</v>
      </c>
      <c r="C38" s="76"/>
      <c r="D38" s="76"/>
      <c r="E38" s="77">
        <f t="shared" si="0"/>
        <v>0</v>
      </c>
      <c r="F38" s="77" t="e">
        <f t="shared" si="1"/>
        <v>#DIV/0!</v>
      </c>
    </row>
    <row r="39" spans="1:6" ht="19.5" customHeight="1">
      <c r="A39" s="79" t="s">
        <v>1244</v>
      </c>
      <c r="B39" s="76">
        <f>SUM(B40:B42)</f>
        <v>823</v>
      </c>
      <c r="C39" s="76">
        <f>SUM(C40:C42)</f>
        <v>3826.8113000000003</v>
      </c>
      <c r="D39" s="76">
        <f>SUM(D40:D42)</f>
        <v>3235.345</v>
      </c>
      <c r="E39" s="77">
        <f t="shared" si="0"/>
        <v>393.1160388821385</v>
      </c>
      <c r="F39" s="77">
        <f t="shared" si="1"/>
        <v>84.54414776082635</v>
      </c>
    </row>
    <row r="40" spans="1:6" ht="19.5" customHeight="1">
      <c r="A40" s="79" t="s">
        <v>1245</v>
      </c>
      <c r="B40" s="80">
        <v>693</v>
      </c>
      <c r="C40" s="81">
        <v>1521</v>
      </c>
      <c r="D40" s="81">
        <v>1330</v>
      </c>
      <c r="E40" s="77">
        <f t="shared" si="0"/>
        <v>191.91919191919192</v>
      </c>
      <c r="F40" s="77">
        <f t="shared" si="1"/>
        <v>87.44247205785666</v>
      </c>
    </row>
    <row r="41" spans="1:6" ht="19.5" customHeight="1">
      <c r="A41" s="79" t="s">
        <v>1246</v>
      </c>
      <c r="B41" s="80">
        <v>127</v>
      </c>
      <c r="C41" s="81">
        <v>2199.1613</v>
      </c>
      <c r="D41" s="81">
        <v>1852.5507</v>
      </c>
      <c r="E41" s="77">
        <f t="shared" si="0"/>
        <v>1458.7013385826772</v>
      </c>
      <c r="F41" s="77">
        <f t="shared" si="1"/>
        <v>84.23896419057574</v>
      </c>
    </row>
    <row r="42" spans="1:6" ht="19.5" customHeight="1">
      <c r="A42" s="79" t="s">
        <v>1247</v>
      </c>
      <c r="B42" s="80">
        <v>3</v>
      </c>
      <c r="C42" s="76">
        <v>106.65</v>
      </c>
      <c r="D42" s="76">
        <v>52.7943</v>
      </c>
      <c r="E42" s="77">
        <f t="shared" si="0"/>
        <v>1759.81</v>
      </c>
      <c r="F42" s="77">
        <f t="shared" si="1"/>
        <v>49.502390998593526</v>
      </c>
    </row>
    <row r="43" spans="1:6" ht="19.5" customHeight="1">
      <c r="A43" s="79" t="s">
        <v>104</v>
      </c>
      <c r="B43" s="76">
        <f aca="true" t="shared" si="3" ref="B43:D44">SUM(B44)</f>
        <v>31623</v>
      </c>
      <c r="C43" s="76">
        <f t="shared" si="3"/>
        <v>31623</v>
      </c>
      <c r="D43" s="76">
        <f t="shared" si="3"/>
        <v>31623</v>
      </c>
      <c r="E43" s="77">
        <f t="shared" si="0"/>
        <v>100</v>
      </c>
      <c r="F43" s="77">
        <f t="shared" si="1"/>
        <v>100</v>
      </c>
    </row>
    <row r="44" spans="1:6" ht="19.5" customHeight="1">
      <c r="A44" s="79" t="s">
        <v>1248</v>
      </c>
      <c r="B44" s="76">
        <f t="shared" si="3"/>
        <v>31623</v>
      </c>
      <c r="C44" s="76">
        <f t="shared" si="3"/>
        <v>31623</v>
      </c>
      <c r="D44" s="76">
        <f t="shared" si="3"/>
        <v>31623</v>
      </c>
      <c r="E44" s="77">
        <f t="shared" si="0"/>
        <v>100</v>
      </c>
      <c r="F44" s="77">
        <f t="shared" si="1"/>
        <v>100</v>
      </c>
    </row>
    <row r="45" spans="1:6" ht="19.5" customHeight="1">
      <c r="A45" s="79" t="s">
        <v>1249</v>
      </c>
      <c r="B45" s="80">
        <v>31623</v>
      </c>
      <c r="C45" s="80">
        <v>31623</v>
      </c>
      <c r="D45" s="80">
        <v>31623</v>
      </c>
      <c r="E45" s="77">
        <f t="shared" si="0"/>
        <v>100</v>
      </c>
      <c r="F45" s="77">
        <f t="shared" si="1"/>
        <v>100</v>
      </c>
    </row>
    <row r="46" spans="1:6" ht="19.5" customHeight="1">
      <c r="A46" s="79" t="s">
        <v>105</v>
      </c>
      <c r="B46" s="81">
        <f aca="true" t="shared" si="4" ref="B46:D47">SUM(B47)</f>
        <v>0</v>
      </c>
      <c r="C46" s="81">
        <f t="shared" si="4"/>
        <v>364</v>
      </c>
      <c r="D46" s="81">
        <f t="shared" si="4"/>
        <v>364</v>
      </c>
      <c r="E46" s="77">
        <f t="shared" si="0"/>
        <v>0</v>
      </c>
      <c r="F46" s="77">
        <f t="shared" si="1"/>
        <v>100</v>
      </c>
    </row>
    <row r="47" spans="1:6" ht="19.5" customHeight="1">
      <c r="A47" s="79" t="s">
        <v>1250</v>
      </c>
      <c r="B47" s="81">
        <f t="shared" si="4"/>
        <v>0</v>
      </c>
      <c r="C47" s="81">
        <f t="shared" si="4"/>
        <v>364</v>
      </c>
      <c r="D47" s="81">
        <f t="shared" si="4"/>
        <v>364</v>
      </c>
      <c r="E47" s="77">
        <f t="shared" si="0"/>
        <v>0</v>
      </c>
      <c r="F47" s="77">
        <f t="shared" si="1"/>
        <v>100</v>
      </c>
    </row>
    <row r="48" spans="1:6" ht="15">
      <c r="A48" s="79" t="s">
        <v>1251</v>
      </c>
      <c r="B48" s="81"/>
      <c r="C48" s="81">
        <v>364</v>
      </c>
      <c r="D48" s="81">
        <v>364</v>
      </c>
      <c r="E48" s="77">
        <f t="shared" si="0"/>
        <v>0</v>
      </c>
      <c r="F48" s="77">
        <f t="shared" si="1"/>
        <v>100</v>
      </c>
    </row>
    <row r="49" spans="1:6" ht="15">
      <c r="A49" s="78" t="s">
        <v>150</v>
      </c>
      <c r="B49" s="81">
        <f>B50</f>
        <v>24000</v>
      </c>
      <c r="C49" s="81">
        <f aca="true" t="shared" si="5" ref="C49:D51">C50</f>
        <v>24000</v>
      </c>
      <c r="D49" s="81">
        <f t="shared" si="5"/>
        <v>24000</v>
      </c>
      <c r="E49" s="77">
        <f t="shared" si="0"/>
        <v>100</v>
      </c>
      <c r="F49" s="77">
        <f t="shared" si="1"/>
        <v>100</v>
      </c>
    </row>
    <row r="50" spans="1:6" ht="15">
      <c r="A50" s="79" t="s">
        <v>107</v>
      </c>
      <c r="B50" s="81">
        <f>B51</f>
        <v>24000</v>
      </c>
      <c r="C50" s="81">
        <f t="shared" si="5"/>
        <v>24000</v>
      </c>
      <c r="D50" s="81">
        <f t="shared" si="5"/>
        <v>24000</v>
      </c>
      <c r="E50" s="77">
        <f t="shared" si="0"/>
        <v>100</v>
      </c>
      <c r="F50" s="77">
        <f t="shared" si="1"/>
        <v>100</v>
      </c>
    </row>
    <row r="51" spans="1:6" ht="15">
      <c r="A51" s="79" t="s">
        <v>1252</v>
      </c>
      <c r="B51" s="81">
        <f>B52</f>
        <v>24000</v>
      </c>
      <c r="C51" s="81">
        <f t="shared" si="5"/>
        <v>24000</v>
      </c>
      <c r="D51" s="81">
        <f t="shared" si="5"/>
        <v>24000</v>
      </c>
      <c r="E51" s="77">
        <f t="shared" si="0"/>
        <v>100</v>
      </c>
      <c r="F51" s="77">
        <f t="shared" si="1"/>
        <v>100</v>
      </c>
    </row>
    <row r="52" spans="1:6" ht="15">
      <c r="A52" s="79" t="s">
        <v>1253</v>
      </c>
      <c r="B52" s="87">
        <v>24000</v>
      </c>
      <c r="C52" s="87">
        <v>24000</v>
      </c>
      <c r="D52" s="87">
        <v>24000</v>
      </c>
      <c r="E52" s="77">
        <f t="shared" si="0"/>
        <v>100</v>
      </c>
      <c r="F52" s="77">
        <f t="shared" si="1"/>
        <v>100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G21"/>
  <sheetViews>
    <sheetView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1" sqref="J21"/>
    </sheetView>
  </sheetViews>
  <sheetFormatPr defaultColWidth="9.00390625" defaultRowHeight="14.25"/>
  <cols>
    <col min="1" max="1" width="60.625" style="50" customWidth="1"/>
    <col min="2" max="2" width="56.00390625" style="51" bestFit="1" customWidth="1"/>
    <col min="3" max="5" width="12.00390625" style="52" bestFit="1" customWidth="1"/>
    <col min="6" max="6" width="12.25390625" style="52" customWidth="1"/>
    <col min="7" max="7" width="9.625" style="52" bestFit="1" customWidth="1"/>
    <col min="8" max="231" width="9.00390625" style="52" customWidth="1"/>
    <col min="232" max="232" width="46.125" style="52" customWidth="1"/>
    <col min="233" max="233" width="16.75390625" style="52" customWidth="1"/>
    <col min="234" max="235" width="14.75390625" style="52" customWidth="1"/>
    <col min="236" max="236" width="11.25390625" style="52" customWidth="1"/>
    <col min="237" max="237" width="9.50390625" style="52" bestFit="1" customWidth="1"/>
    <col min="238" max="16384" width="9.00390625" style="52" customWidth="1"/>
  </cols>
  <sheetData>
    <row r="1" ht="12.75">
      <c r="A1" s="53" t="s">
        <v>1254</v>
      </c>
    </row>
    <row r="2" spans="1:7" ht="30" customHeight="1">
      <c r="A2" s="389" t="s">
        <v>1255</v>
      </c>
      <c r="B2" s="389"/>
      <c r="C2" s="389"/>
      <c r="D2" s="389"/>
      <c r="E2" s="389"/>
      <c r="F2" s="389"/>
      <c r="G2" s="389"/>
    </row>
    <row r="3" spans="1:7" ht="15" customHeight="1">
      <c r="A3" s="54"/>
      <c r="B3" s="54"/>
      <c r="G3" s="55" t="s">
        <v>6</v>
      </c>
    </row>
    <row r="4" spans="1:7" s="47" customFormat="1" ht="19.5" customHeight="1">
      <c r="A4" s="393" t="s">
        <v>7</v>
      </c>
      <c r="B4" s="393" t="s">
        <v>916</v>
      </c>
      <c r="C4" s="390" t="s">
        <v>917</v>
      </c>
      <c r="D4" s="391"/>
      <c r="E4" s="392"/>
      <c r="F4" s="393" t="s">
        <v>918</v>
      </c>
      <c r="G4" s="395" t="s">
        <v>919</v>
      </c>
    </row>
    <row r="5" spans="1:7" s="47" customFormat="1" ht="19.5" customHeight="1">
      <c r="A5" s="394"/>
      <c r="B5" s="394"/>
      <c r="C5" s="56" t="s">
        <v>920</v>
      </c>
      <c r="D5" s="56" t="s">
        <v>921</v>
      </c>
      <c r="E5" s="56" t="s">
        <v>1256</v>
      </c>
      <c r="F5" s="394"/>
      <c r="G5" s="396"/>
    </row>
    <row r="6" spans="1:7" s="48" customFormat="1" ht="19.5" customHeight="1">
      <c r="A6" s="57" t="s">
        <v>1257</v>
      </c>
      <c r="C6" s="58">
        <f>SUM(C7:C21)</f>
        <v>154148.66000000003</v>
      </c>
      <c r="D6" s="58">
        <f>SUM(D7:D21)</f>
        <v>154271.9075</v>
      </c>
      <c r="E6" s="58">
        <f>SUM(E7:E21)</f>
        <v>152124.8741</v>
      </c>
      <c r="F6" s="59">
        <f>C6-E6</f>
        <v>2023.7859000000462</v>
      </c>
      <c r="G6" s="60">
        <f>D6/C6*100</f>
        <v>100.07995366291213</v>
      </c>
    </row>
    <row r="7" spans="1:7" s="48" customFormat="1" ht="19.5" customHeight="1">
      <c r="A7" s="61" t="s">
        <v>1258</v>
      </c>
      <c r="B7" s="62" t="s">
        <v>1218</v>
      </c>
      <c r="C7" s="63">
        <v>152000</v>
      </c>
      <c r="D7" s="63">
        <v>152000</v>
      </c>
      <c r="E7" s="63">
        <v>152000</v>
      </c>
      <c r="F7" s="59">
        <f aca="true" t="shared" si="0" ref="F7:F18">C7-E7</f>
        <v>0</v>
      </c>
      <c r="G7" s="60"/>
    </row>
    <row r="8" spans="1:7" s="48" customFormat="1" ht="19.5" customHeight="1">
      <c r="A8" s="61" t="s">
        <v>1259</v>
      </c>
      <c r="B8" s="62" t="s">
        <v>1218</v>
      </c>
      <c r="C8" s="63">
        <v>93.82</v>
      </c>
      <c r="D8" s="58"/>
      <c r="E8" s="58"/>
      <c r="F8" s="59">
        <f t="shared" si="0"/>
        <v>93.82</v>
      </c>
      <c r="G8" s="60"/>
    </row>
    <row r="9" spans="1:7" s="48" customFormat="1" ht="19.5" customHeight="1">
      <c r="A9" s="61" t="s">
        <v>1260</v>
      </c>
      <c r="B9" s="62" t="s">
        <v>1219</v>
      </c>
      <c r="C9" s="63">
        <v>53.3</v>
      </c>
      <c r="D9" s="63">
        <v>53.3</v>
      </c>
      <c r="E9" s="58"/>
      <c r="F9" s="59">
        <f t="shared" si="0"/>
        <v>53.3</v>
      </c>
      <c r="G9" s="60"/>
    </row>
    <row r="10" spans="1:7" s="49" customFormat="1" ht="19.5" customHeight="1">
      <c r="A10" s="64" t="s">
        <v>1261</v>
      </c>
      <c r="B10" s="65" t="s">
        <v>1245</v>
      </c>
      <c r="C10" s="63">
        <v>70</v>
      </c>
      <c r="D10" s="66"/>
      <c r="E10" s="66"/>
      <c r="F10" s="59">
        <f t="shared" si="0"/>
        <v>70</v>
      </c>
      <c r="G10" s="59">
        <f aca="true" t="shared" si="1" ref="G10:G20">D10/C10*100</f>
        <v>0</v>
      </c>
    </row>
    <row r="11" spans="1:7" s="49" customFormat="1" ht="19.5" customHeight="1">
      <c r="A11" s="64" t="s">
        <v>1262</v>
      </c>
      <c r="B11" s="65" t="s">
        <v>1245</v>
      </c>
      <c r="C11" s="63">
        <v>403.7</v>
      </c>
      <c r="D11" s="66">
        <v>300.3675</v>
      </c>
      <c r="E11" s="66"/>
      <c r="F11" s="59">
        <f t="shared" si="0"/>
        <v>403.7</v>
      </c>
      <c r="G11" s="59">
        <f t="shared" si="1"/>
        <v>74.40364131781025</v>
      </c>
    </row>
    <row r="12" spans="1:7" s="49" customFormat="1" ht="19.5" customHeight="1">
      <c r="A12" s="64" t="s">
        <v>1263</v>
      </c>
      <c r="B12" s="65" t="s">
        <v>1245</v>
      </c>
      <c r="C12" s="63">
        <v>110.64</v>
      </c>
      <c r="D12" s="66">
        <v>105.64</v>
      </c>
      <c r="E12" s="66"/>
      <c r="F12" s="59">
        <f t="shared" si="0"/>
        <v>110.64</v>
      </c>
      <c r="G12" s="59">
        <f t="shared" si="1"/>
        <v>95.48083875632682</v>
      </c>
    </row>
    <row r="13" spans="1:7" s="49" customFormat="1" ht="19.5" customHeight="1">
      <c r="A13" s="64" t="s">
        <v>1264</v>
      </c>
      <c r="B13" s="65" t="s">
        <v>1245</v>
      </c>
      <c r="C13" s="63">
        <v>6</v>
      </c>
      <c r="D13" s="63">
        <v>6</v>
      </c>
      <c r="E13" s="63">
        <v>6</v>
      </c>
      <c r="F13" s="59">
        <f t="shared" si="0"/>
        <v>0</v>
      </c>
      <c r="G13" s="59">
        <f t="shared" si="1"/>
        <v>100</v>
      </c>
    </row>
    <row r="14" spans="1:7" s="49" customFormat="1" ht="19.5" customHeight="1">
      <c r="A14" s="61" t="s">
        <v>1265</v>
      </c>
      <c r="B14" s="65" t="s">
        <v>1246</v>
      </c>
      <c r="C14" s="63">
        <v>189</v>
      </c>
      <c r="D14" s="63">
        <v>189</v>
      </c>
      <c r="E14" s="66"/>
      <c r="F14" s="59">
        <f t="shared" si="0"/>
        <v>189</v>
      </c>
      <c r="G14" s="59">
        <f t="shared" si="1"/>
        <v>100</v>
      </c>
    </row>
    <row r="15" spans="1:7" s="49" customFormat="1" ht="30.75">
      <c r="A15" s="61" t="s">
        <v>1266</v>
      </c>
      <c r="B15" s="65" t="s">
        <v>1246</v>
      </c>
      <c r="C15" s="63">
        <v>400</v>
      </c>
      <c r="D15" s="63">
        <v>400</v>
      </c>
      <c r="E15" s="66"/>
      <c r="F15" s="59">
        <f t="shared" si="0"/>
        <v>400</v>
      </c>
      <c r="G15" s="59">
        <f t="shared" si="1"/>
        <v>100</v>
      </c>
    </row>
    <row r="16" spans="1:7" s="49" customFormat="1" ht="19.5" customHeight="1">
      <c r="A16" s="61" t="s">
        <v>1267</v>
      </c>
      <c r="B16" s="65" t="s">
        <v>1246</v>
      </c>
      <c r="C16" s="63">
        <v>1166.1</v>
      </c>
      <c r="D16" s="63">
        <v>1166.1</v>
      </c>
      <c r="E16" s="63">
        <v>118.8741</v>
      </c>
      <c r="F16" s="59">
        <f t="shared" si="0"/>
        <v>1047.2259</v>
      </c>
      <c r="G16" s="59">
        <f t="shared" si="1"/>
        <v>100</v>
      </c>
    </row>
    <row r="17" spans="1:7" s="49" customFormat="1" ht="19.5" customHeight="1">
      <c r="A17" s="67" t="s">
        <v>1268</v>
      </c>
      <c r="B17" s="65" t="s">
        <v>1246</v>
      </c>
      <c r="C17" s="66">
        <v>100</v>
      </c>
      <c r="D17" s="66">
        <v>51.5</v>
      </c>
      <c r="E17" s="66"/>
      <c r="F17" s="59">
        <f t="shared" si="0"/>
        <v>100</v>
      </c>
      <c r="G17" s="59">
        <f t="shared" si="1"/>
        <v>51.5</v>
      </c>
    </row>
    <row r="18" spans="1:7" ht="27" customHeight="1">
      <c r="A18" s="61" t="s">
        <v>1269</v>
      </c>
      <c r="B18" s="65" t="s">
        <v>1245</v>
      </c>
      <c r="C18" s="63">
        <v>130.5</v>
      </c>
      <c r="D18" s="63"/>
      <c r="E18" s="58"/>
      <c r="F18" s="59">
        <f t="shared" si="0"/>
        <v>130.5</v>
      </c>
      <c r="G18" s="60">
        <f t="shared" si="1"/>
        <v>0</v>
      </c>
    </row>
    <row r="19" spans="1:7" ht="27" customHeight="1">
      <c r="A19" s="61" t="s">
        <v>1270</v>
      </c>
      <c r="B19" s="65" t="s">
        <v>1245</v>
      </c>
      <c r="C19" s="63">
        <v>-434.0525</v>
      </c>
      <c r="D19" s="63"/>
      <c r="E19" s="58"/>
      <c r="F19" s="59"/>
      <c r="G19" s="60">
        <f t="shared" si="1"/>
        <v>0</v>
      </c>
    </row>
    <row r="20" spans="1:7" ht="27" customHeight="1">
      <c r="A20" s="61" t="s">
        <v>1271</v>
      </c>
      <c r="B20" s="62" t="s">
        <v>1245</v>
      </c>
      <c r="C20" s="63">
        <v>-103.3325</v>
      </c>
      <c r="D20" s="63"/>
      <c r="E20" s="58"/>
      <c r="F20" s="59"/>
      <c r="G20" s="60">
        <f t="shared" si="1"/>
        <v>0</v>
      </c>
    </row>
    <row r="21" spans="1:7" ht="27" customHeight="1">
      <c r="A21" s="61" t="s">
        <v>1270</v>
      </c>
      <c r="B21" s="62" t="s">
        <v>1245</v>
      </c>
      <c r="C21" s="63">
        <v>-37.015</v>
      </c>
      <c r="D21" s="63"/>
      <c r="E21" s="58"/>
      <c r="F21" s="59"/>
      <c r="G21" s="60"/>
    </row>
  </sheetData>
  <sheetProtection/>
  <mergeCells count="6">
    <mergeCell ref="A2:G2"/>
    <mergeCell ref="C4:E4"/>
    <mergeCell ref="A4:A5"/>
    <mergeCell ref="B4:B5"/>
    <mergeCell ref="F4:F5"/>
    <mergeCell ref="G4:G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7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8"/>
  <sheetViews>
    <sheetView workbookViewId="0" topLeftCell="A64">
      <selection activeCell="F11" sqref="F11:F12"/>
    </sheetView>
  </sheetViews>
  <sheetFormatPr defaultColWidth="9.00390625" defaultRowHeight="14.25"/>
  <cols>
    <col min="1" max="1" width="42.75390625" style="35" bestFit="1" customWidth="1"/>
    <col min="2" max="2" width="50.50390625" style="35" bestFit="1" customWidth="1"/>
    <col min="3" max="3" width="45.00390625" style="36" bestFit="1" customWidth="1"/>
    <col min="4" max="4" width="18.125" style="35" customWidth="1"/>
    <col min="5" max="16384" width="9.00390625" style="35" customWidth="1"/>
  </cols>
  <sheetData>
    <row r="1" ht="15">
      <c r="A1" s="37" t="s">
        <v>1272</v>
      </c>
    </row>
    <row r="2" spans="1:4" ht="20.25">
      <c r="A2" s="389" t="s">
        <v>1273</v>
      </c>
      <c r="B2" s="389"/>
      <c r="C2" s="389"/>
      <c r="D2" s="389"/>
    </row>
    <row r="3" ht="15">
      <c r="D3" s="38" t="s">
        <v>6</v>
      </c>
    </row>
    <row r="4" spans="1:4" ht="15">
      <c r="A4" s="402" t="s">
        <v>1274</v>
      </c>
      <c r="B4" s="403" t="s">
        <v>7</v>
      </c>
      <c r="C4" s="405" t="s">
        <v>916</v>
      </c>
      <c r="D4" s="407" t="s">
        <v>1275</v>
      </c>
    </row>
    <row r="5" spans="1:4" ht="15">
      <c r="A5" s="402"/>
      <c r="B5" s="404"/>
      <c r="C5" s="406"/>
      <c r="D5" s="408"/>
    </row>
    <row r="6" spans="1:4" s="32" customFormat="1" ht="15">
      <c r="A6" s="397" t="s">
        <v>1276</v>
      </c>
      <c r="B6" s="398"/>
      <c r="C6" s="398"/>
      <c r="D6" s="39">
        <f>SUM(D7:D83)</f>
        <v>34802</v>
      </c>
    </row>
    <row r="7" spans="1:4" s="33" customFormat="1" ht="15">
      <c r="A7" s="40" t="s">
        <v>1277</v>
      </c>
      <c r="B7" s="40" t="s">
        <v>1278</v>
      </c>
      <c r="C7" s="40" t="s">
        <v>1279</v>
      </c>
      <c r="D7" s="41">
        <v>10</v>
      </c>
    </row>
    <row r="8" spans="1:4" s="33" customFormat="1" ht="15">
      <c r="A8" s="40" t="s">
        <v>1277</v>
      </c>
      <c r="B8" s="40" t="s">
        <v>1280</v>
      </c>
      <c r="C8" s="40" t="s">
        <v>1281</v>
      </c>
      <c r="D8" s="41">
        <v>48</v>
      </c>
    </row>
    <row r="9" spans="1:4" s="33" customFormat="1" ht="15">
      <c r="A9" s="40" t="s">
        <v>1277</v>
      </c>
      <c r="B9" s="40" t="s">
        <v>1282</v>
      </c>
      <c r="C9" s="40" t="s">
        <v>1283</v>
      </c>
      <c r="D9" s="41">
        <v>15</v>
      </c>
    </row>
    <row r="10" spans="1:4" s="33" customFormat="1" ht="15">
      <c r="A10" s="40" t="s">
        <v>1277</v>
      </c>
      <c r="B10" s="40" t="s">
        <v>1284</v>
      </c>
      <c r="C10" s="40" t="s">
        <v>1285</v>
      </c>
      <c r="D10" s="41">
        <v>600</v>
      </c>
    </row>
    <row r="11" spans="1:4" s="33" customFormat="1" ht="15">
      <c r="A11" s="40" t="s">
        <v>1277</v>
      </c>
      <c r="B11" s="40" t="s">
        <v>1286</v>
      </c>
      <c r="C11" s="40" t="s">
        <v>1287</v>
      </c>
      <c r="D11" s="41">
        <v>190</v>
      </c>
    </row>
    <row r="12" spans="1:4" s="33" customFormat="1" ht="15">
      <c r="A12" s="40" t="s">
        <v>1277</v>
      </c>
      <c r="B12" s="40" t="s">
        <v>1288</v>
      </c>
      <c r="C12" s="40" t="s">
        <v>1289</v>
      </c>
      <c r="D12" s="41">
        <v>13</v>
      </c>
    </row>
    <row r="13" spans="1:4" s="33" customFormat="1" ht="15">
      <c r="A13" s="40" t="s">
        <v>1277</v>
      </c>
      <c r="B13" s="40" t="s">
        <v>1290</v>
      </c>
      <c r="C13" s="40" t="s">
        <v>1291</v>
      </c>
      <c r="D13" s="41">
        <v>49</v>
      </c>
    </row>
    <row r="14" spans="1:4" s="33" customFormat="1" ht="15">
      <c r="A14" s="40" t="s">
        <v>1277</v>
      </c>
      <c r="B14" s="40" t="s">
        <v>1292</v>
      </c>
      <c r="C14" s="40" t="s">
        <v>1293</v>
      </c>
      <c r="D14" s="41">
        <v>35</v>
      </c>
    </row>
    <row r="15" spans="1:4" s="33" customFormat="1" ht="15">
      <c r="A15" s="40" t="s">
        <v>1277</v>
      </c>
      <c r="B15" s="40" t="s">
        <v>1294</v>
      </c>
      <c r="C15" s="40" t="s">
        <v>1283</v>
      </c>
      <c r="D15" s="41">
        <v>855</v>
      </c>
    </row>
    <row r="16" spans="1:4" s="33" customFormat="1" ht="15">
      <c r="A16" s="40" t="s">
        <v>1277</v>
      </c>
      <c r="B16" s="40" t="s">
        <v>1295</v>
      </c>
      <c r="C16" s="40" t="s">
        <v>1296</v>
      </c>
      <c r="D16" s="41">
        <v>3</v>
      </c>
    </row>
    <row r="17" spans="1:4" s="33" customFormat="1" ht="15">
      <c r="A17" s="40" t="s">
        <v>1277</v>
      </c>
      <c r="B17" s="40" t="s">
        <v>1297</v>
      </c>
      <c r="C17" s="40" t="s">
        <v>1298</v>
      </c>
      <c r="D17" s="41">
        <v>147</v>
      </c>
    </row>
    <row r="18" spans="1:4" s="33" customFormat="1" ht="15">
      <c r="A18" s="40" t="s">
        <v>1277</v>
      </c>
      <c r="B18" s="40" t="s">
        <v>1299</v>
      </c>
      <c r="C18" s="40" t="s">
        <v>1300</v>
      </c>
      <c r="D18" s="41">
        <v>31</v>
      </c>
    </row>
    <row r="19" spans="1:4" s="33" customFormat="1" ht="15">
      <c r="A19" s="40" t="s">
        <v>1277</v>
      </c>
      <c r="B19" s="40" t="s">
        <v>1299</v>
      </c>
      <c r="C19" s="40" t="s">
        <v>1300</v>
      </c>
      <c r="D19" s="41">
        <v>34</v>
      </c>
    </row>
    <row r="20" spans="1:4" s="33" customFormat="1" ht="15">
      <c r="A20" s="40" t="s">
        <v>1277</v>
      </c>
      <c r="B20" s="40" t="s">
        <v>1280</v>
      </c>
      <c r="C20" s="40" t="s">
        <v>1281</v>
      </c>
      <c r="D20" s="41">
        <v>8</v>
      </c>
    </row>
    <row r="21" spans="1:4" s="33" customFormat="1" ht="15">
      <c r="A21" s="40" t="s">
        <v>1277</v>
      </c>
      <c r="B21" s="40" t="s">
        <v>1301</v>
      </c>
      <c r="C21" s="40" t="s">
        <v>1279</v>
      </c>
      <c r="D21" s="41">
        <v>3</v>
      </c>
    </row>
    <row r="22" spans="1:4" s="33" customFormat="1" ht="15">
      <c r="A22" s="40" t="s">
        <v>1302</v>
      </c>
      <c r="B22" s="40" t="s">
        <v>1280</v>
      </c>
      <c r="C22" s="40" t="s">
        <v>1281</v>
      </c>
      <c r="D22" s="41">
        <v>56</v>
      </c>
    </row>
    <row r="23" spans="1:4" s="33" customFormat="1" ht="15">
      <c r="A23" s="40" t="s">
        <v>1302</v>
      </c>
      <c r="B23" s="40" t="s">
        <v>1288</v>
      </c>
      <c r="C23" s="40" t="s">
        <v>1281</v>
      </c>
      <c r="D23" s="41">
        <v>5</v>
      </c>
    </row>
    <row r="24" spans="1:4" s="33" customFormat="1" ht="15">
      <c r="A24" s="40" t="s">
        <v>1302</v>
      </c>
      <c r="B24" s="40" t="s">
        <v>1303</v>
      </c>
      <c r="C24" s="40" t="s">
        <v>1287</v>
      </c>
      <c r="D24" s="41">
        <v>30</v>
      </c>
    </row>
    <row r="25" spans="1:4" s="33" customFormat="1" ht="15">
      <c r="A25" s="40" t="s">
        <v>1302</v>
      </c>
      <c r="B25" s="40" t="s">
        <v>1304</v>
      </c>
      <c r="C25" s="40" t="s">
        <v>1283</v>
      </c>
      <c r="D25" s="41">
        <v>233</v>
      </c>
    </row>
    <row r="26" spans="1:4" s="33" customFormat="1" ht="15">
      <c r="A26" s="40" t="s">
        <v>1302</v>
      </c>
      <c r="B26" s="40" t="s">
        <v>1290</v>
      </c>
      <c r="C26" s="40" t="s">
        <v>1291</v>
      </c>
      <c r="D26" s="41">
        <v>61</v>
      </c>
    </row>
    <row r="27" spans="1:4" s="33" customFormat="1" ht="15">
      <c r="A27" s="40" t="s">
        <v>1302</v>
      </c>
      <c r="B27" s="40" t="s">
        <v>1305</v>
      </c>
      <c r="C27" s="40" t="s">
        <v>1298</v>
      </c>
      <c r="D27" s="41">
        <v>214</v>
      </c>
    </row>
    <row r="28" spans="1:4" ht="15">
      <c r="A28" s="42" t="s">
        <v>1302</v>
      </c>
      <c r="B28" s="42" t="s">
        <v>1306</v>
      </c>
      <c r="C28" s="42" t="s">
        <v>1293</v>
      </c>
      <c r="D28" s="43">
        <v>33</v>
      </c>
    </row>
    <row r="29" spans="1:4" s="34" customFormat="1" ht="15">
      <c r="A29" s="42" t="s">
        <v>1302</v>
      </c>
      <c r="B29" s="42" t="s">
        <v>1280</v>
      </c>
      <c r="C29" s="42" t="s">
        <v>1281</v>
      </c>
      <c r="D29" s="43">
        <v>8</v>
      </c>
    </row>
    <row r="30" spans="1:4" ht="15">
      <c r="A30" s="42" t="s">
        <v>1307</v>
      </c>
      <c r="B30" s="42" t="s">
        <v>1308</v>
      </c>
      <c r="C30" s="42" t="s">
        <v>1281</v>
      </c>
      <c r="D30" s="43">
        <v>7</v>
      </c>
    </row>
    <row r="31" spans="1:4" ht="15">
      <c r="A31" s="42" t="s">
        <v>1307</v>
      </c>
      <c r="B31" s="42" t="s">
        <v>1309</v>
      </c>
      <c r="C31" s="42" t="s">
        <v>1310</v>
      </c>
      <c r="D31" s="43">
        <v>30</v>
      </c>
    </row>
    <row r="32" spans="1:4" ht="15">
      <c r="A32" s="42" t="s">
        <v>1307</v>
      </c>
      <c r="B32" s="42" t="s">
        <v>1292</v>
      </c>
      <c r="C32" s="42" t="s">
        <v>1293</v>
      </c>
      <c r="D32" s="43">
        <v>21</v>
      </c>
    </row>
    <row r="33" spans="1:4" ht="15">
      <c r="A33" s="42" t="s">
        <v>1307</v>
      </c>
      <c r="B33" s="42" t="s">
        <v>1295</v>
      </c>
      <c r="C33" s="42" t="s">
        <v>1296</v>
      </c>
      <c r="D33" s="43">
        <v>10</v>
      </c>
    </row>
    <row r="34" spans="1:4" ht="15">
      <c r="A34" s="42" t="s">
        <v>1307</v>
      </c>
      <c r="B34" s="42" t="s">
        <v>1297</v>
      </c>
      <c r="C34" s="42" t="s">
        <v>1298</v>
      </c>
      <c r="D34" s="43">
        <v>155</v>
      </c>
    </row>
    <row r="35" spans="1:4" ht="15">
      <c r="A35" s="42" t="s">
        <v>1307</v>
      </c>
      <c r="B35" s="42" t="s">
        <v>1290</v>
      </c>
      <c r="C35" s="42" t="s">
        <v>1291</v>
      </c>
      <c r="D35" s="43">
        <v>55</v>
      </c>
    </row>
    <row r="36" spans="1:4" ht="15">
      <c r="A36" s="42" t="s">
        <v>1307</v>
      </c>
      <c r="B36" s="42" t="s">
        <v>1311</v>
      </c>
      <c r="C36" s="42" t="s">
        <v>1283</v>
      </c>
      <c r="D36" s="43">
        <v>174</v>
      </c>
    </row>
    <row r="37" spans="1:4" ht="15">
      <c r="A37" s="42" t="s">
        <v>1307</v>
      </c>
      <c r="B37" s="42" t="s">
        <v>1301</v>
      </c>
      <c r="C37" s="42" t="s">
        <v>1279</v>
      </c>
      <c r="D37" s="43">
        <v>14</v>
      </c>
    </row>
    <row r="38" spans="1:4" ht="15">
      <c r="A38" s="42" t="s">
        <v>1312</v>
      </c>
      <c r="B38" s="42" t="s">
        <v>1313</v>
      </c>
      <c r="C38" s="42" t="s">
        <v>1285</v>
      </c>
      <c r="D38" s="43">
        <v>600</v>
      </c>
    </row>
    <row r="39" spans="1:4" ht="15">
      <c r="A39" s="42" t="s">
        <v>1312</v>
      </c>
      <c r="B39" s="42" t="s">
        <v>1295</v>
      </c>
      <c r="C39" s="42" t="s">
        <v>1296</v>
      </c>
      <c r="D39" s="43">
        <v>5</v>
      </c>
    </row>
    <row r="40" spans="1:4" ht="15">
      <c r="A40" s="42" t="s">
        <v>1312</v>
      </c>
      <c r="B40" s="42" t="s">
        <v>1292</v>
      </c>
      <c r="C40" s="42" t="s">
        <v>1293</v>
      </c>
      <c r="D40" s="43">
        <v>20</v>
      </c>
    </row>
    <row r="41" spans="1:4" ht="15">
      <c r="A41" s="42" t="s">
        <v>1312</v>
      </c>
      <c r="B41" s="42" t="s">
        <v>1290</v>
      </c>
      <c r="C41" s="42" t="s">
        <v>1291</v>
      </c>
      <c r="D41" s="43">
        <v>73</v>
      </c>
    </row>
    <row r="42" spans="1:4" ht="15">
      <c r="A42" s="42" t="s">
        <v>1312</v>
      </c>
      <c r="B42" s="42" t="s">
        <v>1294</v>
      </c>
      <c r="C42" s="42" t="s">
        <v>1283</v>
      </c>
      <c r="D42" s="43">
        <v>15</v>
      </c>
    </row>
    <row r="43" spans="1:4" ht="15">
      <c r="A43" s="42" t="s">
        <v>1312</v>
      </c>
      <c r="B43" s="42" t="s">
        <v>1297</v>
      </c>
      <c r="C43" s="42" t="s">
        <v>1298</v>
      </c>
      <c r="D43" s="43">
        <v>27</v>
      </c>
    </row>
    <row r="44" spans="1:4" ht="15">
      <c r="A44" s="42" t="s">
        <v>1312</v>
      </c>
      <c r="B44" s="42" t="s">
        <v>1314</v>
      </c>
      <c r="C44" s="42" t="s">
        <v>1315</v>
      </c>
      <c r="D44" s="43">
        <v>600</v>
      </c>
    </row>
    <row r="45" spans="1:4" ht="15">
      <c r="A45" s="42" t="s">
        <v>1312</v>
      </c>
      <c r="B45" s="42" t="s">
        <v>1301</v>
      </c>
      <c r="C45" s="42" t="s">
        <v>1316</v>
      </c>
      <c r="D45" s="43">
        <v>1</v>
      </c>
    </row>
    <row r="46" spans="1:4" ht="15">
      <c r="A46" s="42" t="s">
        <v>1317</v>
      </c>
      <c r="B46" s="42" t="s">
        <v>1286</v>
      </c>
      <c r="C46" s="42" t="s">
        <v>1287</v>
      </c>
      <c r="D46" s="43">
        <v>16</v>
      </c>
    </row>
    <row r="47" spans="1:4" ht="15">
      <c r="A47" s="42" t="s">
        <v>1317</v>
      </c>
      <c r="B47" s="42" t="s">
        <v>1290</v>
      </c>
      <c r="C47" s="42" t="s">
        <v>1291</v>
      </c>
      <c r="D47" s="43">
        <v>56</v>
      </c>
    </row>
    <row r="48" spans="1:4" ht="15">
      <c r="A48" s="42" t="s">
        <v>1317</v>
      </c>
      <c r="B48" s="42" t="s">
        <v>1318</v>
      </c>
      <c r="C48" s="42" t="s">
        <v>1293</v>
      </c>
      <c r="D48" s="43">
        <v>45</v>
      </c>
    </row>
    <row r="49" spans="1:4" ht="15">
      <c r="A49" s="42" t="s">
        <v>1317</v>
      </c>
      <c r="B49" s="42" t="s">
        <v>1319</v>
      </c>
      <c r="C49" s="42" t="s">
        <v>1296</v>
      </c>
      <c r="D49" s="43">
        <v>16</v>
      </c>
    </row>
    <row r="50" spans="1:4" ht="15">
      <c r="A50" s="42" t="s">
        <v>1317</v>
      </c>
      <c r="B50" s="42" t="s">
        <v>1290</v>
      </c>
      <c r="C50" s="42" t="s">
        <v>1291</v>
      </c>
      <c r="D50" s="43">
        <v>167</v>
      </c>
    </row>
    <row r="51" spans="1:4" ht="15">
      <c r="A51" s="42" t="s">
        <v>1317</v>
      </c>
      <c r="B51" s="42" t="s">
        <v>1297</v>
      </c>
      <c r="C51" s="42" t="s">
        <v>1298</v>
      </c>
      <c r="D51" s="43">
        <v>918</v>
      </c>
    </row>
    <row r="52" spans="1:4" ht="15">
      <c r="A52" s="42" t="s">
        <v>1317</v>
      </c>
      <c r="B52" s="42" t="s">
        <v>1294</v>
      </c>
      <c r="C52" s="42" t="s">
        <v>1283</v>
      </c>
      <c r="D52" s="43">
        <v>76</v>
      </c>
    </row>
    <row r="53" spans="1:4" ht="15">
      <c r="A53" s="42" t="s">
        <v>1317</v>
      </c>
      <c r="B53" s="42" t="s">
        <v>1301</v>
      </c>
      <c r="C53" s="42" t="s">
        <v>1279</v>
      </c>
      <c r="D53" s="43">
        <v>15</v>
      </c>
    </row>
    <row r="54" spans="1:4" ht="15">
      <c r="A54" s="42" t="s">
        <v>1320</v>
      </c>
      <c r="B54" s="42" t="s">
        <v>1318</v>
      </c>
      <c r="C54" s="42" t="s">
        <v>1293</v>
      </c>
      <c r="D54" s="43">
        <v>28</v>
      </c>
    </row>
    <row r="55" spans="1:4" ht="15">
      <c r="A55" s="42" t="s">
        <v>1320</v>
      </c>
      <c r="B55" s="42" t="s">
        <v>1290</v>
      </c>
      <c r="C55" s="42" t="s">
        <v>1291</v>
      </c>
      <c r="D55" s="43">
        <v>90</v>
      </c>
    </row>
    <row r="56" spans="1:4" ht="15">
      <c r="A56" s="42" t="s">
        <v>1320</v>
      </c>
      <c r="B56" s="42" t="s">
        <v>1294</v>
      </c>
      <c r="C56" s="42" t="s">
        <v>1283</v>
      </c>
      <c r="D56" s="43">
        <v>25</v>
      </c>
    </row>
    <row r="57" spans="1:4" ht="15">
      <c r="A57" s="42" t="s">
        <v>1320</v>
      </c>
      <c r="B57" s="42" t="s">
        <v>1297</v>
      </c>
      <c r="C57" s="42" t="s">
        <v>1298</v>
      </c>
      <c r="D57" s="43">
        <v>86</v>
      </c>
    </row>
    <row r="58" spans="1:4" ht="15">
      <c r="A58" s="42" t="s">
        <v>1320</v>
      </c>
      <c r="B58" s="42" t="s">
        <v>1321</v>
      </c>
      <c r="C58" s="42" t="s">
        <v>1322</v>
      </c>
      <c r="D58" s="43">
        <v>1000</v>
      </c>
    </row>
    <row r="59" spans="1:4" ht="15">
      <c r="A59" s="42" t="s">
        <v>1323</v>
      </c>
      <c r="B59" s="42" t="s">
        <v>1324</v>
      </c>
      <c r="C59" s="42" t="s">
        <v>1298</v>
      </c>
      <c r="D59" s="43">
        <v>232</v>
      </c>
    </row>
    <row r="60" spans="1:4" ht="15">
      <c r="A60" s="42" t="s">
        <v>1323</v>
      </c>
      <c r="B60" s="42" t="s">
        <v>1318</v>
      </c>
      <c r="C60" s="42" t="s">
        <v>1293</v>
      </c>
      <c r="D60" s="43">
        <v>21</v>
      </c>
    </row>
    <row r="61" spans="1:4" ht="15">
      <c r="A61" s="42" t="s">
        <v>1323</v>
      </c>
      <c r="B61" s="42" t="s">
        <v>1294</v>
      </c>
      <c r="C61" s="42" t="s">
        <v>1283</v>
      </c>
      <c r="D61" s="43">
        <v>42</v>
      </c>
    </row>
    <row r="62" spans="1:4" ht="15">
      <c r="A62" s="42" t="s">
        <v>1323</v>
      </c>
      <c r="B62" s="42" t="s">
        <v>1325</v>
      </c>
      <c r="C62" s="42" t="s">
        <v>1291</v>
      </c>
      <c r="D62" s="43">
        <v>78</v>
      </c>
    </row>
    <row r="63" spans="1:4" ht="15">
      <c r="A63" s="42" t="s">
        <v>1323</v>
      </c>
      <c r="B63" s="42" t="s">
        <v>1301</v>
      </c>
      <c r="C63" s="42" t="s">
        <v>1279</v>
      </c>
      <c r="D63" s="43">
        <v>17</v>
      </c>
    </row>
    <row r="64" spans="1:4" ht="15">
      <c r="A64" s="42" t="s">
        <v>1323</v>
      </c>
      <c r="B64" s="42" t="s">
        <v>1301</v>
      </c>
      <c r="C64" s="42" t="s">
        <v>1316</v>
      </c>
      <c r="D64" s="43">
        <v>1</v>
      </c>
    </row>
    <row r="65" spans="1:4" ht="15">
      <c r="A65" s="42" t="s">
        <v>1326</v>
      </c>
      <c r="B65" s="42" t="s">
        <v>1327</v>
      </c>
      <c r="C65" s="42" t="s">
        <v>1328</v>
      </c>
      <c r="D65" s="43">
        <v>1500</v>
      </c>
    </row>
    <row r="66" spans="1:4" ht="15">
      <c r="A66" s="42" t="s">
        <v>1326</v>
      </c>
      <c r="B66" s="42" t="s">
        <v>1329</v>
      </c>
      <c r="C66" s="42" t="s">
        <v>1330</v>
      </c>
      <c r="D66" s="43">
        <v>5070</v>
      </c>
    </row>
    <row r="67" spans="1:4" ht="15">
      <c r="A67" s="42" t="s">
        <v>1326</v>
      </c>
      <c r="B67" s="42" t="s">
        <v>1331</v>
      </c>
      <c r="C67" s="42" t="s">
        <v>1287</v>
      </c>
      <c r="D67" s="43">
        <v>40</v>
      </c>
    </row>
    <row r="68" spans="1:4" ht="15">
      <c r="A68" s="42" t="s">
        <v>1326</v>
      </c>
      <c r="B68" s="42" t="s">
        <v>1278</v>
      </c>
      <c r="C68" s="42" t="s">
        <v>1279</v>
      </c>
      <c r="D68" s="43">
        <v>1</v>
      </c>
    </row>
    <row r="69" spans="1:4" ht="15">
      <c r="A69" s="42" t="s">
        <v>1326</v>
      </c>
      <c r="B69" s="42" t="s">
        <v>1294</v>
      </c>
      <c r="C69" s="42" t="s">
        <v>1283</v>
      </c>
      <c r="D69" s="43">
        <v>46</v>
      </c>
    </row>
    <row r="70" spans="1:4" ht="15">
      <c r="A70" s="42" t="s">
        <v>1326</v>
      </c>
      <c r="B70" s="42" t="s">
        <v>1290</v>
      </c>
      <c r="C70" s="42" t="s">
        <v>1291</v>
      </c>
      <c r="D70" s="43">
        <v>195</v>
      </c>
    </row>
    <row r="71" spans="1:4" ht="15">
      <c r="A71" s="42" t="s">
        <v>1326</v>
      </c>
      <c r="B71" s="42" t="s">
        <v>1319</v>
      </c>
      <c r="C71" s="42" t="s">
        <v>1296</v>
      </c>
      <c r="D71" s="43">
        <v>5</v>
      </c>
    </row>
    <row r="72" spans="1:4" ht="15">
      <c r="A72" s="42" t="s">
        <v>1326</v>
      </c>
      <c r="B72" s="42" t="s">
        <v>1297</v>
      </c>
      <c r="C72" s="42" t="s">
        <v>1298</v>
      </c>
      <c r="D72" s="43">
        <v>804</v>
      </c>
    </row>
    <row r="73" spans="1:4" ht="15">
      <c r="A73" s="42" t="s">
        <v>1326</v>
      </c>
      <c r="B73" s="42" t="s">
        <v>1318</v>
      </c>
      <c r="C73" s="42" t="s">
        <v>1293</v>
      </c>
      <c r="D73" s="43">
        <v>21</v>
      </c>
    </row>
    <row r="74" spans="1:4" ht="15">
      <c r="A74" s="42" t="s">
        <v>1332</v>
      </c>
      <c r="B74" s="42" t="s">
        <v>1294</v>
      </c>
      <c r="C74" s="42" t="s">
        <v>1283</v>
      </c>
      <c r="D74" s="43">
        <v>55</v>
      </c>
    </row>
    <row r="75" spans="1:4" ht="15">
      <c r="A75" s="42" t="s">
        <v>1332</v>
      </c>
      <c r="B75" s="42" t="s">
        <v>1292</v>
      </c>
      <c r="C75" s="42" t="s">
        <v>1293</v>
      </c>
      <c r="D75" s="43">
        <v>27</v>
      </c>
    </row>
    <row r="76" spans="1:4" ht="15">
      <c r="A76" s="42" t="s">
        <v>1332</v>
      </c>
      <c r="B76" s="42" t="s">
        <v>1297</v>
      </c>
      <c r="C76" s="42" t="s">
        <v>1298</v>
      </c>
      <c r="D76" s="43">
        <v>435</v>
      </c>
    </row>
    <row r="77" spans="1:4" ht="15">
      <c r="A77" s="42" t="s">
        <v>1332</v>
      </c>
      <c r="B77" s="42" t="s">
        <v>1295</v>
      </c>
      <c r="C77" s="42" t="s">
        <v>1296</v>
      </c>
      <c r="D77" s="43">
        <v>13</v>
      </c>
    </row>
    <row r="78" spans="1:4" ht="15">
      <c r="A78" s="42" t="s">
        <v>1332</v>
      </c>
      <c r="B78" s="42" t="s">
        <v>1290</v>
      </c>
      <c r="C78" s="42" t="s">
        <v>1291</v>
      </c>
      <c r="D78" s="43">
        <v>206</v>
      </c>
    </row>
    <row r="79" spans="1:4" ht="15">
      <c r="A79" s="42" t="s">
        <v>1332</v>
      </c>
      <c r="B79" s="42" t="s">
        <v>1301</v>
      </c>
      <c r="C79" s="42" t="s">
        <v>1316</v>
      </c>
      <c r="D79" s="43">
        <v>1</v>
      </c>
    </row>
    <row r="80" spans="1:4" ht="15">
      <c r="A80" s="42" t="s">
        <v>1333</v>
      </c>
      <c r="B80" s="42" t="s">
        <v>1334</v>
      </c>
      <c r="C80" s="42" t="s">
        <v>1335</v>
      </c>
      <c r="D80" s="43">
        <v>8613</v>
      </c>
    </row>
    <row r="81" spans="1:4" ht="15">
      <c r="A81" s="42" t="s">
        <v>1333</v>
      </c>
      <c r="B81" s="42" t="s">
        <v>1278</v>
      </c>
      <c r="C81" s="42" t="s">
        <v>1336</v>
      </c>
      <c r="D81" s="43">
        <v>1</v>
      </c>
    </row>
    <row r="82" spans="1:4" ht="15">
      <c r="A82" s="42" t="s">
        <v>1333</v>
      </c>
      <c r="B82" s="42" t="s">
        <v>1301</v>
      </c>
      <c r="C82" s="42" t="s">
        <v>1336</v>
      </c>
      <c r="D82" s="43">
        <v>14</v>
      </c>
    </row>
    <row r="83" spans="1:4" ht="15">
      <c r="A83" s="42" t="s">
        <v>1333</v>
      </c>
      <c r="B83" s="42" t="s">
        <v>1337</v>
      </c>
      <c r="C83" s="42" t="s">
        <v>1335</v>
      </c>
      <c r="D83" s="43">
        <v>10338</v>
      </c>
    </row>
    <row r="84" spans="1:4" ht="15">
      <c r="A84" s="399" t="s">
        <v>1211</v>
      </c>
      <c r="B84" s="400"/>
      <c r="C84" s="401"/>
      <c r="D84" s="44">
        <f>SUM(D85:D118)</f>
        <v>882374.4</v>
      </c>
    </row>
    <row r="85" spans="1:4" ht="15">
      <c r="A85" s="42" t="s">
        <v>1323</v>
      </c>
      <c r="B85" s="42" t="s">
        <v>1338</v>
      </c>
      <c r="C85" s="45" t="s">
        <v>1339</v>
      </c>
      <c r="D85" s="44">
        <v>14000</v>
      </c>
    </row>
    <row r="86" spans="1:4" ht="15">
      <c r="A86" s="42" t="s">
        <v>1323</v>
      </c>
      <c r="B86" s="42" t="s">
        <v>1340</v>
      </c>
      <c r="C86" s="45" t="s">
        <v>1341</v>
      </c>
      <c r="D86" s="44">
        <v>210000</v>
      </c>
    </row>
    <row r="87" spans="1:4" ht="15">
      <c r="A87" s="42" t="s">
        <v>1323</v>
      </c>
      <c r="B87" s="42" t="s">
        <v>1338</v>
      </c>
      <c r="C87" s="45" t="s">
        <v>1342</v>
      </c>
      <c r="D87" s="27">
        <v>31162.24</v>
      </c>
    </row>
    <row r="88" spans="1:4" ht="15">
      <c r="A88" s="42" t="s">
        <v>1323</v>
      </c>
      <c r="B88" s="42" t="s">
        <v>1338</v>
      </c>
      <c r="C88" s="45" t="s">
        <v>1343</v>
      </c>
      <c r="D88" s="27">
        <v>2700</v>
      </c>
    </row>
    <row r="89" spans="1:4" ht="15">
      <c r="A89" s="42" t="s">
        <v>1302</v>
      </c>
      <c r="B89" s="42" t="s">
        <v>1344</v>
      </c>
      <c r="C89" s="45" t="s">
        <v>1343</v>
      </c>
      <c r="D89" s="27">
        <v>4500</v>
      </c>
    </row>
    <row r="90" spans="1:4" ht="15">
      <c r="A90" s="42" t="s">
        <v>1302</v>
      </c>
      <c r="B90" s="42" t="s">
        <v>1344</v>
      </c>
      <c r="C90" s="45" t="s">
        <v>1339</v>
      </c>
      <c r="D90" s="27">
        <v>3135.99</v>
      </c>
    </row>
    <row r="91" spans="1:4" ht="15">
      <c r="A91" s="42" t="s">
        <v>1302</v>
      </c>
      <c r="B91" s="42" t="s">
        <v>1344</v>
      </c>
      <c r="C91" s="45" t="s">
        <v>1342</v>
      </c>
      <c r="D91" s="27">
        <v>0</v>
      </c>
    </row>
    <row r="92" spans="1:4" ht="15">
      <c r="A92" s="42" t="s">
        <v>1302</v>
      </c>
      <c r="B92" s="42" t="s">
        <v>1345</v>
      </c>
      <c r="C92" s="45" t="s">
        <v>1341</v>
      </c>
      <c r="D92" s="27">
        <v>49875.84</v>
      </c>
    </row>
    <row r="93" spans="1:4" ht="15">
      <c r="A93" s="42" t="s">
        <v>1312</v>
      </c>
      <c r="B93" s="42" t="s">
        <v>1346</v>
      </c>
      <c r="C93" s="45" t="s">
        <v>1342</v>
      </c>
      <c r="D93" s="27">
        <v>50674.34</v>
      </c>
    </row>
    <row r="94" spans="1:4" ht="15">
      <c r="A94" s="42" t="s">
        <v>1320</v>
      </c>
      <c r="B94" s="42" t="s">
        <v>1347</v>
      </c>
      <c r="C94" s="45" t="s">
        <v>1341</v>
      </c>
      <c r="D94" s="27">
        <v>5000</v>
      </c>
    </row>
    <row r="95" spans="1:4" ht="15">
      <c r="A95" s="42" t="s">
        <v>1320</v>
      </c>
      <c r="B95" s="42" t="s">
        <v>1348</v>
      </c>
      <c r="C95" s="45" t="s">
        <v>1343</v>
      </c>
      <c r="D95" s="27">
        <v>100</v>
      </c>
    </row>
    <row r="96" spans="1:4" ht="15">
      <c r="A96" s="42" t="s">
        <v>1312</v>
      </c>
      <c r="B96" s="42" t="s">
        <v>1346</v>
      </c>
      <c r="C96" s="45" t="s">
        <v>1339</v>
      </c>
      <c r="D96" s="27">
        <v>13000</v>
      </c>
    </row>
    <row r="97" spans="1:4" ht="15">
      <c r="A97" s="42" t="s">
        <v>1332</v>
      </c>
      <c r="B97" s="42" t="s">
        <v>1349</v>
      </c>
      <c r="C97" s="45" t="s">
        <v>1343</v>
      </c>
      <c r="D97" s="27">
        <v>900</v>
      </c>
    </row>
    <row r="98" spans="1:4" ht="15">
      <c r="A98" s="42" t="s">
        <v>1332</v>
      </c>
      <c r="B98" s="42" t="s">
        <v>1348</v>
      </c>
      <c r="C98" s="45" t="s">
        <v>1339</v>
      </c>
      <c r="D98" s="27">
        <v>600</v>
      </c>
    </row>
    <row r="99" spans="1:4" ht="15">
      <c r="A99" s="42" t="s">
        <v>1312</v>
      </c>
      <c r="B99" s="42" t="s">
        <v>1346</v>
      </c>
      <c r="C99" s="45" t="s">
        <v>1343</v>
      </c>
      <c r="D99" s="27">
        <v>2000</v>
      </c>
    </row>
    <row r="100" spans="1:4" ht="15">
      <c r="A100" s="42" t="s">
        <v>1312</v>
      </c>
      <c r="B100" s="42" t="s">
        <v>1350</v>
      </c>
      <c r="C100" s="45" t="s">
        <v>1341</v>
      </c>
      <c r="D100" s="27">
        <v>144000</v>
      </c>
    </row>
    <row r="101" spans="1:4" ht="15">
      <c r="A101" s="42" t="s">
        <v>1332</v>
      </c>
      <c r="B101" s="42" t="s">
        <v>1349</v>
      </c>
      <c r="C101" s="45" t="s">
        <v>1342</v>
      </c>
      <c r="D101" s="27">
        <v>15255.68</v>
      </c>
    </row>
    <row r="102" spans="1:4" ht="15">
      <c r="A102" s="42" t="s">
        <v>1320</v>
      </c>
      <c r="B102" s="42" t="s">
        <v>1348</v>
      </c>
      <c r="C102" s="45" t="s">
        <v>1342</v>
      </c>
      <c r="D102" s="27">
        <v>1300</v>
      </c>
    </row>
    <row r="103" spans="1:4" ht="15">
      <c r="A103" s="42" t="s">
        <v>1332</v>
      </c>
      <c r="B103" s="42" t="s">
        <v>1351</v>
      </c>
      <c r="C103" s="45" t="s">
        <v>1341</v>
      </c>
      <c r="D103" s="27">
        <v>70000</v>
      </c>
    </row>
    <row r="104" spans="1:4" ht="15">
      <c r="A104" s="42" t="s">
        <v>1332</v>
      </c>
      <c r="B104" s="42" t="s">
        <v>1349</v>
      </c>
      <c r="C104" s="45" t="s">
        <v>1339</v>
      </c>
      <c r="D104" s="27">
        <v>6000</v>
      </c>
    </row>
    <row r="105" spans="1:4" ht="15">
      <c r="A105" s="42" t="s">
        <v>1333</v>
      </c>
      <c r="B105" s="42" t="s">
        <v>1352</v>
      </c>
      <c r="C105" s="45" t="s">
        <v>1341</v>
      </c>
      <c r="D105" s="27">
        <v>36000</v>
      </c>
    </row>
    <row r="106" spans="1:4" ht="15">
      <c r="A106" s="42" t="s">
        <v>1333</v>
      </c>
      <c r="B106" s="42" t="s">
        <v>1353</v>
      </c>
      <c r="C106" s="45" t="s">
        <v>1342</v>
      </c>
      <c r="D106" s="27">
        <v>5821.23</v>
      </c>
    </row>
    <row r="107" spans="1:4" ht="15">
      <c r="A107" s="42" t="s">
        <v>1302</v>
      </c>
      <c r="B107" s="42" t="s">
        <v>1354</v>
      </c>
      <c r="C107" s="46" t="s">
        <v>1342</v>
      </c>
      <c r="D107" s="27">
        <v>0</v>
      </c>
    </row>
    <row r="108" spans="1:4" ht="15">
      <c r="A108" s="42" t="s">
        <v>1332</v>
      </c>
      <c r="B108" s="42" t="s">
        <v>1355</v>
      </c>
      <c r="C108" s="45" t="s">
        <v>1342</v>
      </c>
      <c r="D108" s="27">
        <v>89.01</v>
      </c>
    </row>
    <row r="109" spans="1:4" ht="15">
      <c r="A109" s="42" t="s">
        <v>1302</v>
      </c>
      <c r="B109" s="42" t="s">
        <v>1354</v>
      </c>
      <c r="C109" s="45" t="s">
        <v>1342</v>
      </c>
      <c r="D109" s="27">
        <v>0</v>
      </c>
    </row>
    <row r="110" spans="1:4" ht="15">
      <c r="A110" s="42" t="s">
        <v>1302</v>
      </c>
      <c r="B110" s="42" t="s">
        <v>1354</v>
      </c>
      <c r="C110" s="45" t="s">
        <v>1342</v>
      </c>
      <c r="D110" s="27">
        <v>14474.01</v>
      </c>
    </row>
    <row r="111" spans="1:4" ht="15">
      <c r="A111" s="42" t="s">
        <v>1302</v>
      </c>
      <c r="B111" s="42" t="s">
        <v>1345</v>
      </c>
      <c r="C111" s="45" t="s">
        <v>1341</v>
      </c>
      <c r="D111" s="27">
        <v>102890</v>
      </c>
    </row>
    <row r="112" spans="1:4" ht="15">
      <c r="A112" s="42" t="s">
        <v>1302</v>
      </c>
      <c r="B112" s="42" t="s">
        <v>1344</v>
      </c>
      <c r="C112" s="46" t="s">
        <v>1339</v>
      </c>
      <c r="D112" s="27">
        <v>16864.01</v>
      </c>
    </row>
    <row r="113" spans="1:4" ht="15">
      <c r="A113" s="42" t="s">
        <v>1333</v>
      </c>
      <c r="B113" s="42" t="s">
        <v>1353</v>
      </c>
      <c r="C113" s="46" t="s">
        <v>1342</v>
      </c>
      <c r="D113" s="27">
        <v>4332.8</v>
      </c>
    </row>
    <row r="114" spans="1:4" ht="15">
      <c r="A114" s="42" t="s">
        <v>1312</v>
      </c>
      <c r="B114" s="42" t="s">
        <v>1346</v>
      </c>
      <c r="C114" s="46" t="s">
        <v>1342</v>
      </c>
      <c r="D114" s="27">
        <v>56000</v>
      </c>
    </row>
    <row r="115" spans="1:4" ht="15">
      <c r="A115" s="42" t="s">
        <v>1333</v>
      </c>
      <c r="B115" s="42" t="s">
        <v>1352</v>
      </c>
      <c r="C115" s="46" t="s">
        <v>1341</v>
      </c>
      <c r="D115" s="27">
        <v>2955.35</v>
      </c>
    </row>
    <row r="116" spans="1:4" ht="15">
      <c r="A116" s="42" t="s">
        <v>1332</v>
      </c>
      <c r="B116" s="42" t="s">
        <v>1351</v>
      </c>
      <c r="C116" s="46" t="s">
        <v>1341</v>
      </c>
      <c r="D116" s="27">
        <v>964.71</v>
      </c>
    </row>
    <row r="117" spans="1:4" ht="15">
      <c r="A117" s="42" t="s">
        <v>1332</v>
      </c>
      <c r="B117" s="42" t="s">
        <v>1349</v>
      </c>
      <c r="C117" s="46" t="s">
        <v>1342</v>
      </c>
      <c r="D117" s="27">
        <v>17655.03</v>
      </c>
    </row>
    <row r="118" spans="1:4" ht="15">
      <c r="A118" s="42" t="s">
        <v>1302</v>
      </c>
      <c r="B118" s="42" t="s">
        <v>1354</v>
      </c>
      <c r="C118" s="46" t="s">
        <v>1342</v>
      </c>
      <c r="D118" s="27">
        <v>124.16</v>
      </c>
    </row>
  </sheetData>
  <sheetProtection/>
  <autoFilter ref="A5:D118"/>
  <mergeCells count="7">
    <mergeCell ref="A2:D2"/>
    <mergeCell ref="A6:C6"/>
    <mergeCell ref="A84:C84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D20"/>
  <sheetViews>
    <sheetView workbookViewId="0" topLeftCell="A1">
      <selection activeCell="J13" sqref="J13"/>
    </sheetView>
  </sheetViews>
  <sheetFormatPr defaultColWidth="9.00390625" defaultRowHeight="14.25"/>
  <cols>
    <col min="1" max="1" width="34.125" style="0" bestFit="1" customWidth="1"/>
    <col min="2" max="2" width="15.50390625" style="0" customWidth="1"/>
    <col min="3" max="3" width="13.50390625" style="0" customWidth="1"/>
    <col min="4" max="4" width="23.00390625" style="0" bestFit="1" customWidth="1"/>
  </cols>
  <sheetData>
    <row r="1" spans="1:4" ht="15">
      <c r="A1" s="18" t="s">
        <v>1356</v>
      </c>
      <c r="B1" s="19"/>
      <c r="C1" s="19"/>
      <c r="D1" s="19"/>
    </row>
    <row r="2" spans="1:4" ht="20.25">
      <c r="A2" s="409" t="s">
        <v>1357</v>
      </c>
      <c r="B2" s="409"/>
      <c r="C2" s="409"/>
      <c r="D2" s="409"/>
    </row>
    <row r="3" spans="1:4" ht="15">
      <c r="A3" s="20"/>
      <c r="B3" s="21"/>
      <c r="C3" s="21"/>
      <c r="D3" s="22" t="s">
        <v>1358</v>
      </c>
    </row>
    <row r="4" spans="1:4" ht="22.5" customHeight="1">
      <c r="A4" s="411" t="s">
        <v>7</v>
      </c>
      <c r="B4" s="410" t="s">
        <v>1256</v>
      </c>
      <c r="C4" s="410"/>
      <c r="D4" s="410"/>
    </row>
    <row r="5" spans="1:4" ht="22.5" customHeight="1">
      <c r="A5" s="411"/>
      <c r="B5" s="23" t="s">
        <v>80</v>
      </c>
      <c r="C5" s="23" t="s">
        <v>1359</v>
      </c>
      <c r="D5" s="23" t="s">
        <v>1360</v>
      </c>
    </row>
    <row r="6" spans="1:4" ht="22.5" customHeight="1">
      <c r="A6" s="24" t="s">
        <v>1361</v>
      </c>
      <c r="B6" s="25">
        <f aca="true" t="shared" si="0" ref="B6:B20">C6+D6</f>
        <v>129.79</v>
      </c>
      <c r="C6" s="25">
        <f>C7+C8</f>
        <v>129.79</v>
      </c>
      <c r="D6" s="26">
        <f>D7+D8</f>
        <v>0</v>
      </c>
    </row>
    <row r="7" spans="1:4" ht="22.5" customHeight="1">
      <c r="A7" s="27" t="s">
        <v>1362</v>
      </c>
      <c r="B7" s="28">
        <f t="shared" si="0"/>
        <v>42.21</v>
      </c>
      <c r="C7" s="25">
        <f>42.21</f>
        <v>42.21</v>
      </c>
      <c r="D7" s="26"/>
    </row>
    <row r="8" spans="1:4" ht="22.5" customHeight="1">
      <c r="A8" s="27" t="s">
        <v>1363</v>
      </c>
      <c r="B8" s="28">
        <f t="shared" si="0"/>
        <v>87.58</v>
      </c>
      <c r="C8" s="25">
        <v>87.58</v>
      </c>
      <c r="D8" s="26"/>
    </row>
    <row r="9" spans="1:4" ht="22.5" customHeight="1">
      <c r="A9" s="24" t="s">
        <v>1364</v>
      </c>
      <c r="B9" s="25">
        <f t="shared" si="0"/>
        <v>165.9</v>
      </c>
      <c r="C9" s="25">
        <f>C10+C11</f>
        <v>165.9</v>
      </c>
      <c r="D9" s="26">
        <v>0</v>
      </c>
    </row>
    <row r="10" spans="1:4" ht="22.5" customHeight="1">
      <c r="A10" s="27" t="s">
        <v>1362</v>
      </c>
      <c r="B10" s="25">
        <f t="shared" si="0"/>
        <v>44.2</v>
      </c>
      <c r="C10" s="25">
        <v>44.2</v>
      </c>
      <c r="D10" s="26"/>
    </row>
    <row r="11" spans="1:4" ht="22.5" customHeight="1">
      <c r="A11" s="27" t="s">
        <v>1363</v>
      </c>
      <c r="B11" s="25">
        <f t="shared" si="0"/>
        <v>121.7</v>
      </c>
      <c r="C11" s="25">
        <v>121.7</v>
      </c>
      <c r="D11" s="26"/>
    </row>
    <row r="12" spans="1:4" ht="22.5" customHeight="1">
      <c r="A12" s="24" t="s">
        <v>1365</v>
      </c>
      <c r="B12" s="25">
        <f t="shared" si="0"/>
        <v>40.449999999999996</v>
      </c>
      <c r="C12" s="25">
        <f>C13+C14</f>
        <v>40.449999999999996</v>
      </c>
      <c r="D12" s="26">
        <v>0</v>
      </c>
    </row>
    <row r="13" spans="1:4" ht="22.5" customHeight="1">
      <c r="A13" s="27" t="s">
        <v>1362</v>
      </c>
      <c r="B13" s="25">
        <f t="shared" si="0"/>
        <v>4.05</v>
      </c>
      <c r="C13" s="25">
        <v>4.05</v>
      </c>
      <c r="D13" s="26"/>
    </row>
    <row r="14" spans="1:4" ht="22.5" customHeight="1">
      <c r="A14" s="29" t="s">
        <v>1363</v>
      </c>
      <c r="B14" s="28">
        <f t="shared" si="0"/>
        <v>36.4</v>
      </c>
      <c r="C14" s="28">
        <v>36.4</v>
      </c>
      <c r="D14" s="30"/>
    </row>
    <row r="15" spans="1:4" ht="22.5" customHeight="1">
      <c r="A15" s="31" t="s">
        <v>1366</v>
      </c>
      <c r="B15" s="28">
        <f t="shared" si="0"/>
        <v>4.449999999999999</v>
      </c>
      <c r="C15" s="28">
        <f>C16+C17</f>
        <v>4.449999999999999</v>
      </c>
      <c r="D15" s="30"/>
    </row>
    <row r="16" spans="1:4" ht="22.5" customHeight="1">
      <c r="A16" s="29" t="s">
        <v>1362</v>
      </c>
      <c r="B16" s="28">
        <f t="shared" si="0"/>
        <v>2.05</v>
      </c>
      <c r="C16" s="28">
        <v>2.05</v>
      </c>
      <c r="D16" s="30"/>
    </row>
    <row r="17" spans="1:4" ht="22.5" customHeight="1">
      <c r="A17" s="29" t="s">
        <v>1363</v>
      </c>
      <c r="B17" s="28">
        <f t="shared" si="0"/>
        <v>2.4</v>
      </c>
      <c r="C17" s="28">
        <v>2.4</v>
      </c>
      <c r="D17" s="30"/>
    </row>
    <row r="18" spans="1:4" ht="22.5" customHeight="1">
      <c r="A18" s="31" t="s">
        <v>1367</v>
      </c>
      <c r="B18" s="28">
        <f t="shared" si="0"/>
        <v>165.79</v>
      </c>
      <c r="C18" s="28">
        <f>C19+C20</f>
        <v>165.79</v>
      </c>
      <c r="D18" s="30"/>
    </row>
    <row r="19" spans="1:4" ht="22.5" customHeight="1">
      <c r="A19" s="29" t="s">
        <v>1362</v>
      </c>
      <c r="B19" s="28">
        <f t="shared" si="0"/>
        <v>44.21</v>
      </c>
      <c r="C19" s="25">
        <v>44.21</v>
      </c>
      <c r="D19" s="30"/>
    </row>
    <row r="20" spans="1:4" ht="22.5" customHeight="1">
      <c r="A20" s="29" t="s">
        <v>1363</v>
      </c>
      <c r="B20" s="28">
        <f t="shared" si="0"/>
        <v>121.58</v>
      </c>
      <c r="C20" s="25">
        <v>121.58</v>
      </c>
      <c r="D20" s="30"/>
    </row>
  </sheetData>
  <sheetProtection/>
  <mergeCells count="3">
    <mergeCell ref="A2:D2"/>
    <mergeCell ref="B4:D4"/>
    <mergeCell ref="A4:A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1" sqref="C11"/>
    </sheetView>
  </sheetViews>
  <sheetFormatPr defaultColWidth="8.25390625" defaultRowHeight="14.25"/>
  <cols>
    <col min="1" max="1" width="38.25390625" style="1" customWidth="1"/>
    <col min="2" max="2" width="26.875" style="1" customWidth="1"/>
    <col min="3" max="3" width="38.25390625" style="1" customWidth="1"/>
    <col min="4" max="4" width="26.875" style="1" customWidth="1"/>
    <col min="5" max="16384" width="8.25390625" style="1" customWidth="1"/>
  </cols>
  <sheetData>
    <row r="1" spans="1:8" ht="81" customHeight="1">
      <c r="A1" s="412" t="s">
        <v>1368</v>
      </c>
      <c r="B1" s="412"/>
      <c r="C1" s="412"/>
      <c r="D1" s="412"/>
      <c r="E1" s="2"/>
      <c r="F1" s="2"/>
      <c r="G1" s="2"/>
      <c r="H1" s="2"/>
    </row>
    <row r="2" spans="1:4" ht="23.25" customHeight="1">
      <c r="A2" s="3"/>
      <c r="D2" s="4" t="s">
        <v>1369</v>
      </c>
    </row>
    <row r="3" spans="1:4" ht="43.5" customHeight="1">
      <c r="A3" s="5" t="s">
        <v>1370</v>
      </c>
      <c r="B3" s="6" t="s">
        <v>1371</v>
      </c>
      <c r="C3" s="6" t="s">
        <v>1370</v>
      </c>
      <c r="D3" s="7" t="s">
        <v>1371</v>
      </c>
    </row>
    <row r="4" spans="1:4" ht="43.5" customHeight="1">
      <c r="A4" s="8" t="s">
        <v>80</v>
      </c>
      <c r="B4" s="9">
        <f>SUM(B5:B9)</f>
        <v>360000</v>
      </c>
      <c r="C4" s="10"/>
      <c r="D4" s="11"/>
    </row>
    <row r="5" spans="1:4" ht="43.5" customHeight="1">
      <c r="A5" s="12" t="s">
        <v>1372</v>
      </c>
      <c r="B5" s="9">
        <v>12000</v>
      </c>
      <c r="C5" s="10"/>
      <c r="D5" s="11"/>
    </row>
    <row r="6" spans="1:4" ht="43.5" customHeight="1">
      <c r="A6" s="13" t="s">
        <v>1373</v>
      </c>
      <c r="B6" s="9">
        <v>8000</v>
      </c>
      <c r="C6" s="10"/>
      <c r="D6" s="11"/>
    </row>
    <row r="7" spans="1:4" ht="43.5" customHeight="1">
      <c r="A7" s="12" t="s">
        <v>1374</v>
      </c>
      <c r="B7" s="9">
        <v>20000</v>
      </c>
      <c r="C7" s="10"/>
      <c r="D7" s="11"/>
    </row>
    <row r="8" spans="1:4" ht="43.5" customHeight="1">
      <c r="A8" s="12" t="s">
        <v>1375</v>
      </c>
      <c r="B8" s="9">
        <v>20000</v>
      </c>
      <c r="C8" s="10"/>
      <c r="D8" s="11"/>
    </row>
    <row r="9" spans="1:4" ht="43.5" customHeight="1">
      <c r="A9" s="12" t="s">
        <v>1376</v>
      </c>
      <c r="B9" s="9">
        <v>300000</v>
      </c>
      <c r="C9" s="10"/>
      <c r="D9" s="11"/>
    </row>
    <row r="10" spans="1:4" ht="43.5" customHeight="1">
      <c r="A10" s="12"/>
      <c r="B10" s="9"/>
      <c r="C10" s="10"/>
      <c r="D10" s="11"/>
    </row>
    <row r="11" spans="1:4" ht="43.5" customHeight="1">
      <c r="A11" s="14"/>
      <c r="B11" s="15"/>
      <c r="C11" s="16"/>
      <c r="D11" s="17"/>
    </row>
    <row r="12" ht="43.5" customHeight="1"/>
    <row r="13" ht="43.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6:K17"/>
  <sheetViews>
    <sheetView tabSelected="1" workbookViewId="0" topLeftCell="A4">
      <selection activeCell="F31" sqref="F31"/>
    </sheetView>
  </sheetViews>
  <sheetFormatPr defaultColWidth="8.75390625" defaultRowHeight="14.25"/>
  <cols>
    <col min="1" max="3" width="8.75390625" style="0" customWidth="1"/>
    <col min="4" max="4" width="6.125" style="0" customWidth="1"/>
    <col min="5" max="10" width="8.75390625" style="0" customWidth="1"/>
    <col min="11" max="11" width="19.25390625" style="0" customWidth="1"/>
  </cols>
  <sheetData>
    <row r="6" spans="1:11" ht="39.75" customHeight="1">
      <c r="A6" s="362" t="s">
        <v>0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</row>
    <row r="7" spans="1:11" ht="39.75" customHeight="1">
      <c r="A7" s="362" t="s">
        <v>1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</row>
    <row r="15" ht="20.25">
      <c r="E15" s="360" t="s">
        <v>2</v>
      </c>
    </row>
    <row r="16" ht="20.25">
      <c r="E16" s="361"/>
    </row>
    <row r="17" ht="20.25">
      <c r="E17" s="360" t="s">
        <v>3</v>
      </c>
    </row>
  </sheetData>
  <sheetProtection/>
  <mergeCells count="2">
    <mergeCell ref="A6:K6"/>
    <mergeCell ref="A7:K7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62"/>
  <sheetViews>
    <sheetView workbookViewId="0" topLeftCell="A1">
      <pane xSplit="1" ySplit="5" topLeftCell="B5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1" sqref="G71"/>
    </sheetView>
  </sheetViews>
  <sheetFormatPr defaultColWidth="9.00390625" defaultRowHeight="14.25"/>
  <cols>
    <col min="1" max="1" width="34.75390625" style="241" customWidth="1"/>
    <col min="2" max="2" width="10.75390625" style="241" bestFit="1" customWidth="1"/>
    <col min="3" max="3" width="16.125" style="241" bestFit="1" customWidth="1"/>
    <col min="4" max="4" width="12.625" style="241" bestFit="1" customWidth="1"/>
    <col min="5" max="5" width="14.50390625" style="241" customWidth="1"/>
    <col min="6" max="6" width="12.75390625" style="319" bestFit="1" customWidth="1"/>
    <col min="7" max="7" width="12.75390625" style="241" customWidth="1"/>
    <col min="8" max="10" width="9.00390625" style="241" customWidth="1"/>
    <col min="11" max="11" width="16.125" style="241" bestFit="1" customWidth="1"/>
    <col min="12" max="12" width="10.50390625" style="241" bestFit="1" customWidth="1"/>
    <col min="13" max="16384" width="9.00390625" style="241" customWidth="1"/>
  </cols>
  <sheetData>
    <row r="1" spans="1:7" ht="14.25">
      <c r="A1" s="320" t="s">
        <v>4</v>
      </c>
      <c r="B1" s="321"/>
      <c r="C1" s="322"/>
      <c r="D1" s="322"/>
      <c r="E1" s="322"/>
      <c r="F1" s="323"/>
      <c r="G1" s="321"/>
    </row>
    <row r="2" spans="1:7" ht="22.5">
      <c r="A2" s="363" t="s">
        <v>5</v>
      </c>
      <c r="B2" s="363"/>
      <c r="C2" s="363"/>
      <c r="D2" s="363"/>
      <c r="E2" s="363"/>
      <c r="F2" s="363"/>
      <c r="G2" s="363"/>
    </row>
    <row r="3" spans="1:7" ht="14.25">
      <c r="A3" s="324"/>
      <c r="B3" s="321"/>
      <c r="C3" s="322"/>
      <c r="D3" s="322"/>
      <c r="E3" s="322"/>
      <c r="F3" s="325"/>
      <c r="G3" s="326" t="s">
        <v>6</v>
      </c>
    </row>
    <row r="4" spans="1:7" s="32" customFormat="1" ht="32.25" customHeight="1">
      <c r="A4" s="327" t="s">
        <v>7</v>
      </c>
      <c r="B4" s="327" t="s">
        <v>8</v>
      </c>
      <c r="C4" s="328" t="s">
        <v>9</v>
      </c>
      <c r="D4" s="328" t="s">
        <v>10</v>
      </c>
      <c r="E4" s="329" t="s">
        <v>11</v>
      </c>
      <c r="F4" s="330" t="s">
        <v>12</v>
      </c>
      <c r="G4" s="328" t="s">
        <v>13</v>
      </c>
    </row>
    <row r="5" spans="1:7" s="32" customFormat="1" ht="19.5" customHeight="1">
      <c r="A5" s="331" t="s">
        <v>14</v>
      </c>
      <c r="B5" s="332">
        <f>B6+B21</f>
        <v>603669</v>
      </c>
      <c r="C5" s="332">
        <f>C6+C21</f>
        <v>572737.39</v>
      </c>
      <c r="D5" s="333">
        <f aca="true" t="shared" si="0" ref="D5:D19">IF(B5=0,0,C5/B5*100)</f>
        <v>94.87606453205316</v>
      </c>
      <c r="E5" s="334">
        <f>E6+E21</f>
        <v>570000</v>
      </c>
      <c r="F5" s="334">
        <f>F6+F21</f>
        <v>572225</v>
      </c>
      <c r="G5" s="335">
        <f aca="true" t="shared" si="1" ref="G5:G36">(C5/F5-1)*100</f>
        <v>0.08954344881821896</v>
      </c>
    </row>
    <row r="6" spans="1:7" s="32" customFormat="1" ht="19.5" customHeight="1">
      <c r="A6" s="331" t="s">
        <v>15</v>
      </c>
      <c r="B6" s="332">
        <f>SUM(B7:B20)</f>
        <v>480000</v>
      </c>
      <c r="C6" s="332">
        <f>SUM(C7:C20)-3.61</f>
        <v>445000.39</v>
      </c>
      <c r="D6" s="333">
        <f t="shared" si="0"/>
        <v>92.70841458333334</v>
      </c>
      <c r="E6" s="336">
        <f>SUM(E7:E20)</f>
        <v>472676</v>
      </c>
      <c r="F6" s="336">
        <f>SUM(F7:F20)</f>
        <v>466261</v>
      </c>
      <c r="G6" s="335">
        <f t="shared" si="1"/>
        <v>-4.559808776629392</v>
      </c>
    </row>
    <row r="7" spans="1:7" s="33" customFormat="1" ht="19.5" customHeight="1">
      <c r="A7" s="337" t="s">
        <v>16</v>
      </c>
      <c r="B7" s="39">
        <f>162102-1999</f>
        <v>160103</v>
      </c>
      <c r="C7" s="39">
        <v>134941</v>
      </c>
      <c r="D7" s="338">
        <f t="shared" si="0"/>
        <v>84.28386726045109</v>
      </c>
      <c r="E7" s="339">
        <v>152283</v>
      </c>
      <c r="F7" s="339">
        <v>150147</v>
      </c>
      <c r="G7" s="335">
        <f t="shared" si="1"/>
        <v>-10.127408473029764</v>
      </c>
    </row>
    <row r="8" spans="1:7" s="33" customFormat="1" ht="19.5" customHeight="1">
      <c r="A8" s="337" t="s">
        <v>17</v>
      </c>
      <c r="B8" s="340">
        <v>-1831</v>
      </c>
      <c r="C8" s="340"/>
      <c r="D8" s="338">
        <f t="shared" si="0"/>
        <v>0</v>
      </c>
      <c r="E8" s="341">
        <v>-1831</v>
      </c>
      <c r="F8" s="341">
        <v>-1836</v>
      </c>
      <c r="G8" s="335">
        <f t="shared" si="1"/>
        <v>-100</v>
      </c>
    </row>
    <row r="9" spans="1:7" s="33" customFormat="1" ht="19.5" customHeight="1">
      <c r="A9" s="337" t="s">
        <v>18</v>
      </c>
      <c r="B9" s="336">
        <v>67000</v>
      </c>
      <c r="C9" s="336">
        <v>75185</v>
      </c>
      <c r="D9" s="338">
        <f t="shared" si="0"/>
        <v>112.21641791044776</v>
      </c>
      <c r="E9" s="339">
        <v>79621</v>
      </c>
      <c r="F9" s="339">
        <v>67336</v>
      </c>
      <c r="G9" s="335">
        <f t="shared" si="1"/>
        <v>11.656469050730657</v>
      </c>
    </row>
    <row r="10" spans="1:7" s="33" customFormat="1" ht="19.5" customHeight="1">
      <c r="A10" s="337" t="s">
        <v>19</v>
      </c>
      <c r="B10" s="336">
        <v>7999</v>
      </c>
      <c r="C10" s="336">
        <v>10002</v>
      </c>
      <c r="D10" s="338">
        <f t="shared" si="0"/>
        <v>125.04063007875985</v>
      </c>
      <c r="E10" s="339">
        <v>15312</v>
      </c>
      <c r="F10" s="339">
        <v>14377</v>
      </c>
      <c r="G10" s="335">
        <f t="shared" si="1"/>
        <v>-30.430548793211376</v>
      </c>
    </row>
    <row r="11" spans="1:7" s="33" customFormat="1" ht="19.5" customHeight="1">
      <c r="A11" s="337" t="s">
        <v>20</v>
      </c>
      <c r="B11" s="336">
        <v>1328</v>
      </c>
      <c r="C11" s="336">
        <v>1178</v>
      </c>
      <c r="D11" s="338">
        <f t="shared" si="0"/>
        <v>88.70481927710844</v>
      </c>
      <c r="E11" s="339">
        <v>1328</v>
      </c>
      <c r="F11" s="339">
        <v>1106</v>
      </c>
      <c r="G11" s="335">
        <f t="shared" si="1"/>
        <v>6.509945750452073</v>
      </c>
    </row>
    <row r="12" spans="1:7" s="33" customFormat="1" ht="19.5" customHeight="1">
      <c r="A12" s="337" t="s">
        <v>21</v>
      </c>
      <c r="B12" s="336">
        <v>43160</v>
      </c>
      <c r="C12" s="336">
        <v>41266</v>
      </c>
      <c r="D12" s="338">
        <f t="shared" si="0"/>
        <v>95.61167747914736</v>
      </c>
      <c r="E12" s="339">
        <v>43160</v>
      </c>
      <c r="F12" s="339">
        <v>43055</v>
      </c>
      <c r="G12" s="335">
        <f t="shared" si="1"/>
        <v>-4.155150389037276</v>
      </c>
    </row>
    <row r="13" spans="1:7" s="33" customFormat="1" ht="19.5" customHeight="1">
      <c r="A13" s="337" t="s">
        <v>22</v>
      </c>
      <c r="B13" s="336">
        <v>40821</v>
      </c>
      <c r="C13" s="336">
        <v>28601</v>
      </c>
      <c r="D13" s="338">
        <f t="shared" si="0"/>
        <v>70.06442762303716</v>
      </c>
      <c r="E13" s="339">
        <v>25763</v>
      </c>
      <c r="F13" s="339">
        <v>41203</v>
      </c>
      <c r="G13" s="335">
        <f t="shared" si="1"/>
        <v>-30.585151566633495</v>
      </c>
    </row>
    <row r="14" spans="1:7" s="33" customFormat="1" ht="19.5" customHeight="1">
      <c r="A14" s="337" t="s">
        <v>23</v>
      </c>
      <c r="B14" s="336">
        <v>22781</v>
      </c>
      <c r="C14" s="336">
        <v>15174</v>
      </c>
      <c r="D14" s="338">
        <f t="shared" si="0"/>
        <v>66.6081383609148</v>
      </c>
      <c r="E14" s="339">
        <v>17521</v>
      </c>
      <c r="F14" s="339">
        <v>17538</v>
      </c>
      <c r="G14" s="335">
        <f t="shared" si="1"/>
        <v>-13.479302086897027</v>
      </c>
    </row>
    <row r="15" spans="1:7" s="33" customFormat="1" ht="19.5" customHeight="1">
      <c r="A15" s="337" t="s">
        <v>24</v>
      </c>
      <c r="B15" s="336">
        <v>12595</v>
      </c>
      <c r="C15" s="336">
        <v>10095</v>
      </c>
      <c r="D15" s="338">
        <f t="shared" si="0"/>
        <v>80.15085351329893</v>
      </c>
      <c r="E15" s="339">
        <v>11662</v>
      </c>
      <c r="F15" s="339">
        <v>10572</v>
      </c>
      <c r="G15" s="335">
        <f t="shared" si="1"/>
        <v>-4.511918274687854</v>
      </c>
    </row>
    <row r="16" spans="1:7" s="33" customFormat="1" ht="19.5" customHeight="1">
      <c r="A16" s="337" t="s">
        <v>25</v>
      </c>
      <c r="B16" s="336">
        <v>21995</v>
      </c>
      <c r="C16" s="336">
        <v>22765</v>
      </c>
      <c r="D16" s="338">
        <f t="shared" si="0"/>
        <v>103.50079563537167</v>
      </c>
      <c r="E16" s="339">
        <v>20556</v>
      </c>
      <c r="F16" s="339">
        <v>21812</v>
      </c>
      <c r="G16" s="335">
        <f t="shared" si="1"/>
        <v>4.369154593801583</v>
      </c>
    </row>
    <row r="17" spans="1:7" s="33" customFormat="1" ht="19.5" customHeight="1">
      <c r="A17" s="337" t="s">
        <v>26</v>
      </c>
      <c r="B17" s="336">
        <v>6435</v>
      </c>
      <c r="C17" s="336">
        <v>6059</v>
      </c>
      <c r="D17" s="338">
        <f t="shared" si="0"/>
        <v>94.15695415695416</v>
      </c>
      <c r="E17" s="339">
        <v>6014</v>
      </c>
      <c r="F17" s="339">
        <v>6021</v>
      </c>
      <c r="G17" s="335">
        <f t="shared" si="1"/>
        <v>0.6311243979405523</v>
      </c>
    </row>
    <row r="18" spans="1:7" s="33" customFormat="1" ht="19.5" customHeight="1">
      <c r="A18" s="337" t="s">
        <v>27</v>
      </c>
      <c r="B18" s="336">
        <v>6972</v>
      </c>
      <c r="C18" s="336">
        <v>8255</v>
      </c>
      <c r="D18" s="338">
        <f t="shared" si="0"/>
        <v>118.4021801491681</v>
      </c>
      <c r="E18" s="339">
        <v>6456</v>
      </c>
      <c r="F18" s="339">
        <v>5911</v>
      </c>
      <c r="G18" s="335">
        <f t="shared" si="1"/>
        <v>39.6548807308408</v>
      </c>
    </row>
    <row r="19" spans="1:7" s="33" customFormat="1" ht="19.5" customHeight="1">
      <c r="A19" s="337" t="s">
        <v>28</v>
      </c>
      <c r="B19" s="336">
        <v>89632</v>
      </c>
      <c r="C19" s="336">
        <v>90238</v>
      </c>
      <c r="D19" s="338">
        <f t="shared" si="0"/>
        <v>100.67609782220634</v>
      </c>
      <c r="E19" s="339">
        <v>93887</v>
      </c>
      <c r="F19" s="339">
        <v>88232</v>
      </c>
      <c r="G19" s="335">
        <f t="shared" si="1"/>
        <v>2.2735515459243905</v>
      </c>
    </row>
    <row r="20" spans="1:7" s="33" customFormat="1" ht="19.5" customHeight="1">
      <c r="A20" s="337" t="s">
        <v>29</v>
      </c>
      <c r="B20" s="336">
        <v>1010</v>
      </c>
      <c r="C20" s="336">
        <v>1245</v>
      </c>
      <c r="D20" s="338"/>
      <c r="E20" s="339">
        <v>944</v>
      </c>
      <c r="F20" s="339">
        <v>787</v>
      </c>
      <c r="G20" s="335">
        <f t="shared" si="1"/>
        <v>58.19567979669631</v>
      </c>
    </row>
    <row r="21" spans="1:7" s="32" customFormat="1" ht="19.5" customHeight="1">
      <c r="A21" s="331" t="s">
        <v>30</v>
      </c>
      <c r="B21" s="332">
        <f>SUM(B22,B32:B36)</f>
        <v>123669</v>
      </c>
      <c r="C21" s="334">
        <f>SUM(C22,C32:C36)</f>
        <v>127737</v>
      </c>
      <c r="D21" s="335">
        <f aca="true" t="shared" si="2" ref="D21:D62">IF(B21=0,0,C21/B21*100)</f>
        <v>103.2894258059821</v>
      </c>
      <c r="E21" s="334">
        <f>SUM(E22,E32:E36)</f>
        <v>97324</v>
      </c>
      <c r="F21" s="334">
        <f>SUM(F22,F32:F36)</f>
        <v>105964</v>
      </c>
      <c r="G21" s="335">
        <f t="shared" si="1"/>
        <v>20.547544449058176</v>
      </c>
    </row>
    <row r="22" spans="1:7" s="33" customFormat="1" ht="19.5" customHeight="1">
      <c r="A22" s="337" t="s">
        <v>31</v>
      </c>
      <c r="B22" s="340">
        <f>SUM(B23:B31)</f>
        <v>120416</v>
      </c>
      <c r="C22" s="340">
        <f>SUM(C23:C31)</f>
        <v>68360</v>
      </c>
      <c r="D22" s="338">
        <f t="shared" si="2"/>
        <v>56.76986446983789</v>
      </c>
      <c r="E22" s="338">
        <f>SUM(E23:E31)</f>
        <v>60929</v>
      </c>
      <c r="F22" s="338">
        <f>SUM(F23:F31)</f>
        <v>65521</v>
      </c>
      <c r="G22" s="335">
        <f t="shared" si="1"/>
        <v>4.3329619511301765</v>
      </c>
    </row>
    <row r="23" spans="1:7" s="33" customFormat="1" ht="19.5" customHeight="1">
      <c r="A23" s="342" t="s">
        <v>32</v>
      </c>
      <c r="B23" s="138"/>
      <c r="C23" s="138"/>
      <c r="D23" s="338">
        <f t="shared" si="2"/>
        <v>0</v>
      </c>
      <c r="E23" s="338"/>
      <c r="F23" s="343"/>
      <c r="G23" s="335" t="e">
        <f t="shared" si="1"/>
        <v>#DIV/0!</v>
      </c>
    </row>
    <row r="24" spans="1:7" s="33" customFormat="1" ht="19.5" customHeight="1">
      <c r="A24" s="342" t="s">
        <v>33</v>
      </c>
      <c r="B24" s="340">
        <v>18267</v>
      </c>
      <c r="C24" s="340">
        <v>16598</v>
      </c>
      <c r="D24" s="338">
        <f t="shared" si="2"/>
        <v>90.86330541413477</v>
      </c>
      <c r="E24" s="341">
        <v>18267</v>
      </c>
      <c r="F24" s="341">
        <v>18223</v>
      </c>
      <c r="G24" s="335">
        <f t="shared" si="1"/>
        <v>-8.91730231026725</v>
      </c>
    </row>
    <row r="25" spans="1:7" s="33" customFormat="1" ht="19.5" customHeight="1">
      <c r="A25" s="342" t="s">
        <v>34</v>
      </c>
      <c r="B25" s="340">
        <v>10148</v>
      </c>
      <c r="C25" s="340">
        <v>11177</v>
      </c>
      <c r="D25" s="338">
        <f t="shared" si="2"/>
        <v>110.13992905005911</v>
      </c>
      <c r="E25" s="341">
        <v>10148</v>
      </c>
      <c r="F25" s="341">
        <v>12147</v>
      </c>
      <c r="G25" s="335">
        <f t="shared" si="1"/>
        <v>-7.98551082571829</v>
      </c>
    </row>
    <row r="26" spans="1:7" s="33" customFormat="1" ht="19.5" customHeight="1">
      <c r="A26" s="342" t="s">
        <v>35</v>
      </c>
      <c r="B26" s="340">
        <v>8900</v>
      </c>
      <c r="C26" s="340">
        <v>4420</v>
      </c>
      <c r="D26" s="338">
        <f t="shared" si="2"/>
        <v>49.66292134831461</v>
      </c>
      <c r="E26" s="341">
        <v>9511</v>
      </c>
      <c r="F26" s="341">
        <v>8011</v>
      </c>
      <c r="G26" s="335">
        <f t="shared" si="1"/>
        <v>-44.825864436399954</v>
      </c>
    </row>
    <row r="27" spans="1:7" s="33" customFormat="1" ht="19.5" customHeight="1">
      <c r="A27" s="342" t="s">
        <v>36</v>
      </c>
      <c r="B27" s="340">
        <v>29547</v>
      </c>
      <c r="C27" s="340">
        <v>12845</v>
      </c>
      <c r="D27" s="338">
        <f t="shared" si="2"/>
        <v>43.47311063728974</v>
      </c>
      <c r="E27" s="341">
        <v>8100</v>
      </c>
      <c r="F27" s="341">
        <v>9622</v>
      </c>
      <c r="G27" s="335">
        <f t="shared" si="1"/>
        <v>33.49615464560382</v>
      </c>
    </row>
    <row r="28" spans="1:7" s="33" customFormat="1" ht="19.5" customHeight="1">
      <c r="A28" s="342" t="s">
        <v>37</v>
      </c>
      <c r="B28" s="340">
        <v>23638</v>
      </c>
      <c r="C28" s="340">
        <v>10276</v>
      </c>
      <c r="D28" s="338">
        <f t="shared" si="2"/>
        <v>43.472374989423805</v>
      </c>
      <c r="E28" s="341">
        <v>6480</v>
      </c>
      <c r="F28" s="341">
        <v>7698</v>
      </c>
      <c r="G28" s="335">
        <f t="shared" si="1"/>
        <v>33.48921797869578</v>
      </c>
    </row>
    <row r="29" spans="1:7" s="33" customFormat="1" ht="19.5" customHeight="1">
      <c r="A29" s="342" t="s">
        <v>38</v>
      </c>
      <c r="B29" s="340">
        <v>29547</v>
      </c>
      <c r="C29" s="340">
        <v>12845</v>
      </c>
      <c r="D29" s="338">
        <f t="shared" si="2"/>
        <v>43.47311063728974</v>
      </c>
      <c r="E29" s="341">
        <v>8100</v>
      </c>
      <c r="F29" s="341">
        <v>9622</v>
      </c>
      <c r="G29" s="335">
        <f t="shared" si="1"/>
        <v>33.49615464560382</v>
      </c>
    </row>
    <row r="30" spans="1:7" s="33" customFormat="1" ht="19.5" customHeight="1">
      <c r="A30" s="342" t="s">
        <v>39</v>
      </c>
      <c r="B30" s="138"/>
      <c r="C30" s="138"/>
      <c r="D30" s="338">
        <f t="shared" si="2"/>
        <v>0</v>
      </c>
      <c r="E30" s="341"/>
      <c r="F30" s="341"/>
      <c r="G30" s="335" t="e">
        <f t="shared" si="1"/>
        <v>#DIV/0!</v>
      </c>
    </row>
    <row r="31" spans="1:7" s="33" customFormat="1" ht="19.5" customHeight="1">
      <c r="A31" s="342" t="s">
        <v>40</v>
      </c>
      <c r="B31" s="39">
        <v>369</v>
      </c>
      <c r="C31" s="39">
        <v>199</v>
      </c>
      <c r="D31" s="338">
        <f t="shared" si="2"/>
        <v>53.929539295392956</v>
      </c>
      <c r="E31" s="341">
        <v>323</v>
      </c>
      <c r="F31" s="341">
        <v>198</v>
      </c>
      <c r="G31" s="335">
        <f t="shared" si="1"/>
        <v>0.5050505050504972</v>
      </c>
    </row>
    <row r="32" spans="1:7" s="33" customFormat="1" ht="19.5" customHeight="1">
      <c r="A32" s="337" t="s">
        <v>41</v>
      </c>
      <c r="B32" s="340">
        <v>1000</v>
      </c>
      <c r="C32" s="340">
        <v>2601</v>
      </c>
      <c r="D32" s="338">
        <f t="shared" si="2"/>
        <v>260.1</v>
      </c>
      <c r="E32" s="341">
        <v>3605</v>
      </c>
      <c r="F32" s="341">
        <v>3337</v>
      </c>
      <c r="G32" s="335">
        <f t="shared" si="1"/>
        <v>-22.055738687443814</v>
      </c>
    </row>
    <row r="33" spans="1:7" s="33" customFormat="1" ht="19.5" customHeight="1">
      <c r="A33" s="337" t="s">
        <v>42</v>
      </c>
      <c r="B33" s="340">
        <v>1724</v>
      </c>
      <c r="C33" s="340">
        <v>4992</v>
      </c>
      <c r="D33" s="338">
        <f t="shared" si="2"/>
        <v>289.55916473317865</v>
      </c>
      <c r="E33" s="341">
        <v>14126</v>
      </c>
      <c r="F33" s="341">
        <v>16235</v>
      </c>
      <c r="G33" s="335">
        <f t="shared" si="1"/>
        <v>-69.25161687711734</v>
      </c>
    </row>
    <row r="34" spans="1:7" s="33" customFormat="1" ht="19.5" customHeight="1">
      <c r="A34" s="337" t="s">
        <v>43</v>
      </c>
      <c r="B34" s="138"/>
      <c r="C34" s="138"/>
      <c r="D34" s="338">
        <f t="shared" si="2"/>
        <v>0</v>
      </c>
      <c r="E34" s="341">
        <v>17000</v>
      </c>
      <c r="F34" s="341">
        <v>17826</v>
      </c>
      <c r="G34" s="335">
        <f t="shared" si="1"/>
        <v>-100</v>
      </c>
    </row>
    <row r="35" spans="1:7" s="33" customFormat="1" ht="19.5" customHeight="1">
      <c r="A35" s="337" t="s">
        <v>44</v>
      </c>
      <c r="B35" s="340">
        <f>1060-600+69</f>
        <v>529</v>
      </c>
      <c r="C35" s="340">
        <v>50984</v>
      </c>
      <c r="D35" s="338">
        <f t="shared" si="2"/>
        <v>9637.80718336484</v>
      </c>
      <c r="E35" s="341">
        <v>1216</v>
      </c>
      <c r="F35" s="341">
        <v>1725</v>
      </c>
      <c r="G35" s="335">
        <f t="shared" si="1"/>
        <v>2855.5942028985505</v>
      </c>
    </row>
    <row r="36" spans="1:7" s="33" customFormat="1" ht="19.5" customHeight="1">
      <c r="A36" s="337" t="s">
        <v>45</v>
      </c>
      <c r="B36" s="138"/>
      <c r="C36" s="340">
        <v>800</v>
      </c>
      <c r="D36" s="338">
        <f t="shared" si="2"/>
        <v>0</v>
      </c>
      <c r="E36" s="341">
        <v>448</v>
      </c>
      <c r="F36" s="341">
        <v>1320</v>
      </c>
      <c r="G36" s="335">
        <f t="shared" si="1"/>
        <v>-39.39393939393939</v>
      </c>
    </row>
    <row r="37" spans="1:7" s="32" customFormat="1" ht="19.5" customHeight="1">
      <c r="A37" s="331" t="s">
        <v>46</v>
      </c>
      <c r="B37" s="335">
        <f>B6/B5*100</f>
        <v>79.51377327641472</v>
      </c>
      <c r="C37" s="335">
        <f>C6/C5*100</f>
        <v>77.6971082680668</v>
      </c>
      <c r="D37" s="335">
        <f>D6/D5*100</f>
        <v>97.71528260640754</v>
      </c>
      <c r="E37" s="335">
        <f>E6/E5*100</f>
        <v>82.92561403508772</v>
      </c>
      <c r="F37" s="335">
        <f>F6/F5*100</f>
        <v>81.48210931014897</v>
      </c>
      <c r="G37" s="335">
        <f aca="true" t="shared" si="3" ref="G37:G62">(C37/F37-1)*100</f>
        <v>-4.6451927596463545</v>
      </c>
    </row>
    <row r="38" spans="1:7" s="33" customFormat="1" ht="19.5" customHeight="1">
      <c r="A38" s="344" t="s">
        <v>47</v>
      </c>
      <c r="B38" s="336">
        <f>SUM(B39:B44,B48)</f>
        <v>290432.113745</v>
      </c>
      <c r="C38" s="336">
        <f>SUM(C39:C44,C48)-1</f>
        <v>547209.900877</v>
      </c>
      <c r="D38" s="338">
        <f t="shared" si="2"/>
        <v>188.412325972138</v>
      </c>
      <c r="E38" s="336">
        <f>SUM(E39:E44,E48)</f>
        <v>485063</v>
      </c>
      <c r="F38" s="336">
        <f>SUM(F39:F44,F48)</f>
        <v>605569.77</v>
      </c>
      <c r="G38" s="335">
        <f t="shared" si="3"/>
        <v>-9.637183362538071</v>
      </c>
    </row>
    <row r="39" spans="1:7" s="33" customFormat="1" ht="19.5" customHeight="1">
      <c r="A39" s="337" t="s">
        <v>48</v>
      </c>
      <c r="B39" s="345">
        <v>31369</v>
      </c>
      <c r="C39" s="346">
        <f>11389+6911+575+8613.33+33.67+520+4301.04+6148+6472+5413+11+46+552</f>
        <v>50985.04</v>
      </c>
      <c r="D39" s="338">
        <f t="shared" si="2"/>
        <v>162.53320156842744</v>
      </c>
      <c r="E39" s="347">
        <v>30817</v>
      </c>
      <c r="F39" s="347">
        <f>46103-27228+6472+1003+5503+234+12530</f>
        <v>44617</v>
      </c>
      <c r="G39" s="335">
        <f t="shared" si="3"/>
        <v>14.27267633413274</v>
      </c>
    </row>
    <row r="40" spans="1:7" s="33" customFormat="1" ht="19.5" customHeight="1">
      <c r="A40" s="337" t="s">
        <v>49</v>
      </c>
      <c r="B40" s="345">
        <v>15555</v>
      </c>
      <c r="C40" s="345">
        <f>84670.549-5.1-100-4-527.3+12</f>
        <v>84046.14899999999</v>
      </c>
      <c r="D40" s="338">
        <f t="shared" si="2"/>
        <v>540.3159691417551</v>
      </c>
      <c r="E40" s="347">
        <v>83154</v>
      </c>
      <c r="F40" s="347">
        <f>22837+65550</f>
        <v>88387</v>
      </c>
      <c r="G40" s="335">
        <f t="shared" si="3"/>
        <v>-4.911187165533404</v>
      </c>
    </row>
    <row r="41" spans="1:7" s="33" customFormat="1" ht="19.5" customHeight="1">
      <c r="A41" s="337" t="s">
        <v>50</v>
      </c>
      <c r="B41" s="345">
        <v>24802</v>
      </c>
      <c r="C41" s="345">
        <v>35140</v>
      </c>
      <c r="D41" s="338">
        <f t="shared" si="2"/>
        <v>141.6821224094831</v>
      </c>
      <c r="E41" s="347">
        <v>69548</v>
      </c>
      <c r="F41" s="347">
        <f>69547.77</f>
        <v>69547.77</v>
      </c>
      <c r="G41" s="335">
        <f t="shared" si="3"/>
        <v>-49.47357765748636</v>
      </c>
    </row>
    <row r="42" spans="1:7" s="33" customFormat="1" ht="19.5" customHeight="1">
      <c r="A42" s="337" t="s">
        <v>51</v>
      </c>
      <c r="B42" s="345">
        <v>3000</v>
      </c>
      <c r="C42" s="345">
        <v>3000</v>
      </c>
      <c r="D42" s="338">
        <f t="shared" si="2"/>
        <v>100</v>
      </c>
      <c r="E42" s="347">
        <v>3000</v>
      </c>
      <c r="F42" s="347">
        <v>3000</v>
      </c>
      <c r="G42" s="335">
        <f t="shared" si="3"/>
        <v>0</v>
      </c>
    </row>
    <row r="43" spans="1:7" s="33" customFormat="1" ht="19.5" customHeight="1">
      <c r="A43" s="337" t="s">
        <v>52</v>
      </c>
      <c r="B43" s="345">
        <v>27228</v>
      </c>
      <c r="C43" s="345">
        <v>27228</v>
      </c>
      <c r="D43" s="338">
        <f t="shared" si="2"/>
        <v>100</v>
      </c>
      <c r="E43" s="347">
        <v>27228</v>
      </c>
      <c r="F43" s="347">
        <v>27228</v>
      </c>
      <c r="G43" s="335">
        <f t="shared" si="3"/>
        <v>0</v>
      </c>
    </row>
    <row r="44" spans="1:7" s="33" customFormat="1" ht="19.5" customHeight="1">
      <c r="A44" s="337" t="s">
        <v>53</v>
      </c>
      <c r="B44" s="343">
        <v>54375</v>
      </c>
      <c r="C44" s="345">
        <f>SUM(C45:C47)</f>
        <v>88629.91954599999</v>
      </c>
      <c r="D44" s="338">
        <f t="shared" si="2"/>
        <v>162.99755318804597</v>
      </c>
      <c r="E44" s="345">
        <f>SUM(E45:E47)</f>
        <v>0</v>
      </c>
      <c r="F44" s="345">
        <f>SUM(F45:F47)</f>
        <v>101474</v>
      </c>
      <c r="G44" s="335">
        <f t="shared" si="3"/>
        <v>-12.657508774661498</v>
      </c>
    </row>
    <row r="45" spans="1:7" s="33" customFormat="1" ht="19.5" customHeight="1">
      <c r="A45" s="348" t="s">
        <v>54</v>
      </c>
      <c r="B45" s="343"/>
      <c r="C45" s="345">
        <v>36264.186597</v>
      </c>
      <c r="D45" s="338"/>
      <c r="E45" s="347"/>
      <c r="F45" s="347">
        <v>55087</v>
      </c>
      <c r="G45" s="335">
        <f t="shared" si="3"/>
        <v>-34.16924755931527</v>
      </c>
    </row>
    <row r="46" spans="1:7" s="33" customFormat="1" ht="19.5" customHeight="1">
      <c r="A46" s="348" t="s">
        <v>55</v>
      </c>
      <c r="B46" s="343"/>
      <c r="C46" s="349">
        <v>10212.350199999999</v>
      </c>
      <c r="D46" s="338"/>
      <c r="E46" s="347"/>
      <c r="F46" s="347">
        <v>8427</v>
      </c>
      <c r="G46" s="335">
        <f t="shared" si="3"/>
        <v>21.186070962382807</v>
      </c>
    </row>
    <row r="47" spans="1:11" s="33" customFormat="1" ht="19.5" customHeight="1">
      <c r="A47" s="348" t="s">
        <v>56</v>
      </c>
      <c r="B47" s="345">
        <v>54375</v>
      </c>
      <c r="C47" s="350">
        <v>42153.382749</v>
      </c>
      <c r="D47" s="338"/>
      <c r="E47" s="347"/>
      <c r="F47" s="347">
        <v>37960</v>
      </c>
      <c r="G47" s="335">
        <f t="shared" si="3"/>
        <v>11.046846019494193</v>
      </c>
      <c r="K47" s="359"/>
    </row>
    <row r="48" spans="1:7" s="33" customFormat="1" ht="19.5" customHeight="1">
      <c r="A48" s="351" t="s">
        <v>57</v>
      </c>
      <c r="B48" s="352">
        <f>177459.763745-3000-15554.65-24802</f>
        <v>134103.113745</v>
      </c>
      <c r="C48" s="353">
        <f>257545.392331+5.1+100+4+527.3</f>
        <v>258181.792331</v>
      </c>
      <c r="D48" s="338">
        <f t="shared" si="2"/>
        <v>192.5248304241006</v>
      </c>
      <c r="E48" s="352">
        <v>271316</v>
      </c>
      <c r="F48" s="352">
        <v>271316</v>
      </c>
      <c r="G48" s="335">
        <f t="shared" si="3"/>
        <v>-4.840926325391792</v>
      </c>
    </row>
    <row r="49" spans="1:7" s="33" customFormat="1" ht="19.5" customHeight="1">
      <c r="A49" s="354" t="s">
        <v>58</v>
      </c>
      <c r="B49" s="340">
        <f>SUM(B50:B54)</f>
        <v>93297</v>
      </c>
      <c r="C49" s="336">
        <f>SUM(C50:C54)</f>
        <v>94366.70920000001</v>
      </c>
      <c r="D49" s="338">
        <f t="shared" si="2"/>
        <v>101.14656334072909</v>
      </c>
      <c r="E49" s="336">
        <f>SUM(E50:E54)</f>
        <v>84930</v>
      </c>
      <c r="F49" s="336">
        <f>SUM(F50:F54)</f>
        <v>83006</v>
      </c>
      <c r="G49" s="335">
        <f t="shared" si="3"/>
        <v>13.686612052140834</v>
      </c>
    </row>
    <row r="50" spans="1:7" s="33" customFormat="1" ht="19.5" customHeight="1">
      <c r="A50" s="342" t="s">
        <v>59</v>
      </c>
      <c r="B50" s="355">
        <v>11416</v>
      </c>
      <c r="C50" s="356">
        <f>23186-5317</f>
        <v>17869</v>
      </c>
      <c r="D50" s="338">
        <f t="shared" si="2"/>
        <v>156.52592852137352</v>
      </c>
      <c r="E50" s="355">
        <v>11416</v>
      </c>
      <c r="F50" s="355">
        <v>17869</v>
      </c>
      <c r="G50" s="335">
        <f t="shared" si="3"/>
        <v>0</v>
      </c>
    </row>
    <row r="51" spans="1:7" s="33" customFormat="1" ht="19.5" customHeight="1">
      <c r="A51" s="342" t="s">
        <v>60</v>
      </c>
      <c r="B51" s="355">
        <v>8420</v>
      </c>
      <c r="C51" s="356">
        <v>8420</v>
      </c>
      <c r="D51" s="338">
        <f t="shared" si="2"/>
        <v>100</v>
      </c>
      <c r="E51" s="355">
        <v>8420</v>
      </c>
      <c r="F51" s="355">
        <v>8420</v>
      </c>
      <c r="G51" s="335">
        <f t="shared" si="3"/>
        <v>0</v>
      </c>
    </row>
    <row r="52" spans="1:7" s="33" customFormat="1" ht="19.5" customHeight="1">
      <c r="A52" s="342" t="s">
        <v>61</v>
      </c>
      <c r="B52" s="355">
        <v>7722</v>
      </c>
      <c r="C52" s="356">
        <v>7955</v>
      </c>
      <c r="D52" s="338">
        <f t="shared" si="2"/>
        <v>103.01735301735302</v>
      </c>
      <c r="E52" s="355">
        <v>5949</v>
      </c>
      <c r="F52" s="355">
        <v>6561</v>
      </c>
      <c r="G52" s="335">
        <f t="shared" si="3"/>
        <v>21.24676116445663</v>
      </c>
    </row>
    <row r="53" spans="1:7" s="33" customFormat="1" ht="19.5" customHeight="1">
      <c r="A53" s="342" t="s">
        <v>62</v>
      </c>
      <c r="B53" s="355">
        <v>2788</v>
      </c>
      <c r="C53" s="356">
        <v>2788</v>
      </c>
      <c r="D53" s="338">
        <f t="shared" si="2"/>
        <v>100</v>
      </c>
      <c r="E53" s="355">
        <v>3516</v>
      </c>
      <c r="F53" s="355">
        <v>2439</v>
      </c>
      <c r="G53" s="335">
        <f t="shared" si="3"/>
        <v>14.30914309143092</v>
      </c>
    </row>
    <row r="54" spans="1:7" s="33" customFormat="1" ht="19.5" customHeight="1">
      <c r="A54" s="342" t="s">
        <v>63</v>
      </c>
      <c r="B54" s="345">
        <v>62951</v>
      </c>
      <c r="C54" s="345">
        <f>50030+300+6.5492+1328+716.16+4954</f>
        <v>57334.709200000005</v>
      </c>
      <c r="D54" s="338">
        <f t="shared" si="2"/>
        <v>91.07831360899749</v>
      </c>
      <c r="E54" s="347">
        <v>55629</v>
      </c>
      <c r="F54" s="347">
        <v>47717</v>
      </c>
      <c r="G54" s="335">
        <f t="shared" si="3"/>
        <v>20.155728985476884</v>
      </c>
    </row>
    <row r="55" spans="1:7" s="33" customFormat="1" ht="19.5" customHeight="1">
      <c r="A55" s="344" t="s">
        <v>64</v>
      </c>
      <c r="B55" s="138">
        <f>B5+B38-B49</f>
        <v>800804.113745</v>
      </c>
      <c r="C55" s="138">
        <f>C5+C38-C49</f>
        <v>1025580.5816769999</v>
      </c>
      <c r="D55" s="338">
        <f t="shared" si="2"/>
        <v>128.06884531109884</v>
      </c>
      <c r="E55" s="345">
        <f>E5+E38-E49</f>
        <v>970133</v>
      </c>
      <c r="F55" s="345">
        <f>F5+F38-F49</f>
        <v>1094788.77</v>
      </c>
      <c r="G55" s="335">
        <f t="shared" si="3"/>
        <v>-6.321601958248079</v>
      </c>
    </row>
    <row r="56" spans="1:7" s="33" customFormat="1" ht="19.5" customHeight="1">
      <c r="A56" s="344" t="s">
        <v>65</v>
      </c>
      <c r="B56" s="357"/>
      <c r="C56" s="345">
        <v>20000</v>
      </c>
      <c r="D56" s="338">
        <f t="shared" si="2"/>
        <v>0</v>
      </c>
      <c r="E56" s="347">
        <f>30000+800-800</f>
        <v>30000</v>
      </c>
      <c r="F56" s="347">
        <v>30000</v>
      </c>
      <c r="G56" s="335">
        <f t="shared" si="3"/>
        <v>-33.333333333333336</v>
      </c>
    </row>
    <row r="57" spans="1:7" s="33" customFormat="1" ht="19.5" customHeight="1">
      <c r="A57" s="344" t="s">
        <v>66</v>
      </c>
      <c r="B57" s="357"/>
      <c r="C57" s="345">
        <v>20470</v>
      </c>
      <c r="D57" s="338">
        <f t="shared" si="2"/>
        <v>0</v>
      </c>
      <c r="E57" s="347"/>
      <c r="F57" s="347">
        <v>800</v>
      </c>
      <c r="G57" s="335">
        <f t="shared" si="3"/>
        <v>2458.75</v>
      </c>
    </row>
    <row r="58" spans="1:7" s="33" customFormat="1" ht="19.5" customHeight="1">
      <c r="A58" s="331" t="s">
        <v>67</v>
      </c>
      <c r="B58" s="345">
        <f>SUM(B55:B57)</f>
        <v>800804.113745</v>
      </c>
      <c r="C58" s="345">
        <f>SUM(C55:C57)</f>
        <v>1066050.581677</v>
      </c>
      <c r="D58" s="338">
        <f t="shared" si="2"/>
        <v>133.1225156538672</v>
      </c>
      <c r="E58" s="345">
        <f>SUM(E55:E57)</f>
        <v>1000133</v>
      </c>
      <c r="F58" s="345">
        <f>SUM(F55:F57)</f>
        <v>1125588.77</v>
      </c>
      <c r="G58" s="335">
        <f t="shared" si="3"/>
        <v>-5.289515132866862</v>
      </c>
    </row>
    <row r="59" spans="1:7" s="33" customFormat="1" ht="19.5" customHeight="1">
      <c r="A59" s="337" t="s">
        <v>68</v>
      </c>
      <c r="B59" s="358"/>
      <c r="C59" s="345">
        <v>14926</v>
      </c>
      <c r="D59" s="338">
        <f t="shared" si="2"/>
        <v>0</v>
      </c>
      <c r="E59" s="347">
        <v>11767</v>
      </c>
      <c r="F59" s="347">
        <v>11767</v>
      </c>
      <c r="G59" s="335">
        <f t="shared" si="3"/>
        <v>26.846264978329227</v>
      </c>
    </row>
    <row r="60" spans="1:7" s="33" customFormat="1" ht="19.5" customHeight="1">
      <c r="A60" s="337" t="s">
        <v>69</v>
      </c>
      <c r="B60" s="358"/>
      <c r="C60" s="345">
        <v>2303</v>
      </c>
      <c r="D60" s="338">
        <f t="shared" si="2"/>
        <v>0</v>
      </c>
      <c r="E60" s="347">
        <v>1628</v>
      </c>
      <c r="F60" s="347">
        <v>1628</v>
      </c>
      <c r="G60" s="335">
        <f t="shared" si="3"/>
        <v>41.46191646191646</v>
      </c>
    </row>
    <row r="61" spans="1:7" s="33" customFormat="1" ht="19.5" customHeight="1">
      <c r="A61" s="337" t="s">
        <v>70</v>
      </c>
      <c r="B61" s="358"/>
      <c r="C61" s="345">
        <v>173121</v>
      </c>
      <c r="D61" s="338">
        <f t="shared" si="2"/>
        <v>0</v>
      </c>
      <c r="E61" s="347">
        <v>147594</v>
      </c>
      <c r="F61" s="347">
        <f>147594-1</f>
        <v>147593</v>
      </c>
      <c r="G61" s="335">
        <f t="shared" si="3"/>
        <v>17.296213235045023</v>
      </c>
    </row>
    <row r="62" spans="1:7" s="33" customFormat="1" ht="19.5" customHeight="1">
      <c r="A62" s="331" t="s">
        <v>71</v>
      </c>
      <c r="B62" s="345">
        <f>SUM(B58:B61)</f>
        <v>800804.113745</v>
      </c>
      <c r="C62" s="345">
        <f>SUM(C58:C61)</f>
        <v>1256400.581677</v>
      </c>
      <c r="D62" s="338">
        <f t="shared" si="2"/>
        <v>156.89237356703637</v>
      </c>
      <c r="E62" s="345">
        <f>SUM(E58:E61)</f>
        <v>1161122</v>
      </c>
      <c r="F62" s="345">
        <f>SUM(F58:F61)</f>
        <v>1286576.77</v>
      </c>
      <c r="G62" s="335">
        <f t="shared" si="3"/>
        <v>-2.3454634831468257</v>
      </c>
    </row>
  </sheetData>
  <sheetProtection/>
  <mergeCells count="1">
    <mergeCell ref="A2:G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  <headerFooter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7" sqref="J7"/>
    </sheetView>
  </sheetViews>
  <sheetFormatPr defaultColWidth="9.00390625" defaultRowHeight="14.25"/>
  <cols>
    <col min="1" max="1" width="31.625" style="301" bestFit="1" customWidth="1"/>
    <col min="2" max="3" width="13.25390625" style="301" bestFit="1" customWidth="1"/>
    <col min="4" max="4" width="14.75390625" style="301" customWidth="1"/>
    <col min="5" max="5" width="13.25390625" style="301" customWidth="1"/>
    <col min="6" max="6" width="13.75390625" style="301" bestFit="1" customWidth="1"/>
    <col min="7" max="7" width="15.00390625" style="301" customWidth="1"/>
    <col min="8" max="8" width="14.125" style="301" bestFit="1" customWidth="1"/>
    <col min="9" max="16384" width="9.00390625" style="301" customWidth="1"/>
  </cols>
  <sheetData>
    <row r="1" spans="1:8" ht="12.75">
      <c r="A1" s="302" t="s">
        <v>72</v>
      </c>
      <c r="B1" s="91"/>
      <c r="C1" s="91"/>
      <c r="D1" s="91"/>
      <c r="E1" s="91"/>
      <c r="F1" s="91"/>
      <c r="G1" s="91"/>
      <c r="H1" s="91"/>
    </row>
    <row r="2" spans="1:8" ht="30" customHeight="1">
      <c r="A2" s="364" t="s">
        <v>73</v>
      </c>
      <c r="B2" s="364"/>
      <c r="C2" s="364"/>
      <c r="D2" s="364"/>
      <c r="E2" s="364"/>
      <c r="F2" s="364"/>
      <c r="G2" s="364"/>
      <c r="H2" s="364"/>
    </row>
    <row r="3" spans="1:8" ht="15" customHeight="1">
      <c r="A3" s="91"/>
      <c r="B3" s="303"/>
      <c r="C3" s="303"/>
      <c r="D3" s="304"/>
      <c r="E3" s="304"/>
      <c r="F3" s="303"/>
      <c r="G3" s="303"/>
      <c r="H3" s="262" t="s">
        <v>6</v>
      </c>
    </row>
    <row r="4" spans="1:8" ht="39.75" customHeight="1">
      <c r="A4" s="289" t="s">
        <v>74</v>
      </c>
      <c r="B4" s="285" t="s">
        <v>8</v>
      </c>
      <c r="C4" s="285" t="s">
        <v>9</v>
      </c>
      <c r="D4" s="285" t="s">
        <v>75</v>
      </c>
      <c r="E4" s="285" t="s">
        <v>76</v>
      </c>
      <c r="F4" s="285" t="s">
        <v>77</v>
      </c>
      <c r="G4" s="285" t="s">
        <v>78</v>
      </c>
      <c r="H4" s="305" t="s">
        <v>79</v>
      </c>
    </row>
    <row r="5" spans="1:8" ht="19.5" customHeight="1">
      <c r="A5" s="306" t="s">
        <v>80</v>
      </c>
      <c r="B5" s="307">
        <f>B6+B31</f>
        <v>800804</v>
      </c>
      <c r="C5" s="307">
        <f>C6+C31</f>
        <v>1256401</v>
      </c>
      <c r="D5" s="307">
        <f>D6+D31</f>
        <v>930972</v>
      </c>
      <c r="E5" s="307">
        <f>E6+E31</f>
        <v>802901</v>
      </c>
      <c r="F5" s="308">
        <f aca="true" t="shared" si="0" ref="F5:F24">IF(B5=0,0,D5/B5*100)</f>
        <v>116.25466406261707</v>
      </c>
      <c r="G5" s="308">
        <f aca="true" t="shared" si="1" ref="G5:G32">IF(C5=0,0,D5/C5*100)</f>
        <v>74.09831733658282</v>
      </c>
      <c r="H5" s="309">
        <f aca="true" t="shared" si="2" ref="H5:H24">IF(E5=0,0,D5/E5*100)</f>
        <v>115.95103256814974</v>
      </c>
    </row>
    <row r="6" spans="1:8" ht="19.5" customHeight="1">
      <c r="A6" s="310" t="s">
        <v>81</v>
      </c>
      <c r="B6" s="81">
        <f>SUM(B7:B30)</f>
        <v>780334</v>
      </c>
      <c r="C6" s="81">
        <f>SUM(C7:C30)</f>
        <v>1235931</v>
      </c>
      <c r="D6" s="81">
        <f>SUM(D7:D30)</f>
        <v>910502</v>
      </c>
      <c r="E6" s="81">
        <f>SUM(E7:E30)</f>
        <v>802101</v>
      </c>
      <c r="F6" s="77">
        <f t="shared" si="0"/>
        <v>116.68106221182211</v>
      </c>
      <c r="G6" s="77">
        <f t="shared" si="1"/>
        <v>73.66932296382241</v>
      </c>
      <c r="H6" s="300">
        <f t="shared" si="2"/>
        <v>113.51463219719213</v>
      </c>
    </row>
    <row r="7" spans="1:8" ht="19.5" customHeight="1">
      <c r="A7" s="81" t="s">
        <v>82</v>
      </c>
      <c r="B7" s="311">
        <v>48843</v>
      </c>
      <c r="C7" s="291">
        <v>103280.5</v>
      </c>
      <c r="D7" s="81">
        <v>101163.5</v>
      </c>
      <c r="E7" s="312">
        <v>73617</v>
      </c>
      <c r="F7" s="77">
        <f t="shared" si="0"/>
        <v>207.11975103904345</v>
      </c>
      <c r="G7" s="77">
        <f t="shared" si="1"/>
        <v>97.95024230130566</v>
      </c>
      <c r="H7" s="300">
        <f t="shared" si="2"/>
        <v>137.41866688400776</v>
      </c>
    </row>
    <row r="8" spans="1:8" ht="19.5" customHeight="1">
      <c r="A8" s="81" t="s">
        <v>83</v>
      </c>
      <c r="B8" s="311">
        <v>48002</v>
      </c>
      <c r="C8" s="291">
        <v>60077.69</v>
      </c>
      <c r="D8" s="81">
        <v>59985.69</v>
      </c>
      <c r="E8" s="312">
        <v>57192</v>
      </c>
      <c r="F8" s="77">
        <f t="shared" si="0"/>
        <v>124.96498062580726</v>
      </c>
      <c r="G8" s="77">
        <f t="shared" si="1"/>
        <v>99.84686495103257</v>
      </c>
      <c r="H8" s="300">
        <f t="shared" si="2"/>
        <v>104.884756609316</v>
      </c>
    </row>
    <row r="9" spans="1:8" ht="19.5" customHeight="1">
      <c r="A9" s="81" t="s">
        <v>84</v>
      </c>
      <c r="B9" s="311">
        <v>169013</v>
      </c>
      <c r="C9" s="291">
        <v>194581.63</v>
      </c>
      <c r="D9" s="81">
        <v>162748.63</v>
      </c>
      <c r="E9" s="312">
        <v>150485</v>
      </c>
      <c r="F9" s="77">
        <f t="shared" si="0"/>
        <v>96.29355730032601</v>
      </c>
      <c r="G9" s="77">
        <f t="shared" si="1"/>
        <v>83.64028505671372</v>
      </c>
      <c r="H9" s="300">
        <f t="shared" si="2"/>
        <v>108.1494035950427</v>
      </c>
    </row>
    <row r="10" spans="1:8" ht="19.5" customHeight="1">
      <c r="A10" s="81" t="s">
        <v>85</v>
      </c>
      <c r="B10" s="311">
        <v>18102</v>
      </c>
      <c r="C10" s="291">
        <v>48440.94</v>
      </c>
      <c r="D10" s="81">
        <v>48380.94</v>
      </c>
      <c r="E10" s="312">
        <v>25185</v>
      </c>
      <c r="F10" s="77">
        <f t="shared" si="0"/>
        <v>267.26847862114687</v>
      </c>
      <c r="G10" s="77">
        <f t="shared" si="1"/>
        <v>99.87613782886955</v>
      </c>
      <c r="H10" s="300">
        <f t="shared" si="2"/>
        <v>192.1022036926742</v>
      </c>
    </row>
    <row r="11" spans="1:8" ht="19.5" customHeight="1">
      <c r="A11" s="81" t="s">
        <v>86</v>
      </c>
      <c r="B11" s="311">
        <v>11039</v>
      </c>
      <c r="C11" s="291">
        <v>15673.11</v>
      </c>
      <c r="D11" s="81">
        <v>15673.11</v>
      </c>
      <c r="E11" s="312">
        <v>12184</v>
      </c>
      <c r="F11" s="77">
        <f t="shared" si="0"/>
        <v>141.97943654316515</v>
      </c>
      <c r="G11" s="77">
        <f t="shared" si="1"/>
        <v>100</v>
      </c>
      <c r="H11" s="300">
        <f t="shared" si="2"/>
        <v>128.63681877872622</v>
      </c>
    </row>
    <row r="12" spans="1:8" ht="19.5" customHeight="1">
      <c r="A12" s="81" t="s">
        <v>87</v>
      </c>
      <c r="B12" s="311">
        <v>65478</v>
      </c>
      <c r="C12" s="291">
        <v>111752.35</v>
      </c>
      <c r="D12" s="81">
        <v>106414.53</v>
      </c>
      <c r="E12" s="312">
        <v>75116</v>
      </c>
      <c r="F12" s="77">
        <f t="shared" si="0"/>
        <v>162.51951800604783</v>
      </c>
      <c r="G12" s="77">
        <f t="shared" si="1"/>
        <v>95.22352773789544</v>
      </c>
      <c r="H12" s="300">
        <f t="shared" si="2"/>
        <v>141.66692848394482</v>
      </c>
    </row>
    <row r="13" spans="1:8" ht="19.5" customHeight="1">
      <c r="A13" s="81" t="s">
        <v>88</v>
      </c>
      <c r="B13" s="311">
        <v>53709</v>
      </c>
      <c r="C13" s="291">
        <v>84782.94</v>
      </c>
      <c r="D13" s="81">
        <v>83655.20999999999</v>
      </c>
      <c r="E13" s="312">
        <v>80971</v>
      </c>
      <c r="F13" s="77">
        <f t="shared" si="0"/>
        <v>155.7564095403005</v>
      </c>
      <c r="G13" s="77">
        <f t="shared" si="1"/>
        <v>98.66986212084647</v>
      </c>
      <c r="H13" s="300">
        <f t="shared" si="2"/>
        <v>103.31502636746488</v>
      </c>
    </row>
    <row r="14" spans="1:8" ht="19.5" customHeight="1">
      <c r="A14" s="81" t="s">
        <v>89</v>
      </c>
      <c r="B14" s="311">
        <v>22478</v>
      </c>
      <c r="C14" s="291">
        <v>50329.8</v>
      </c>
      <c r="D14" s="81">
        <v>50252.8</v>
      </c>
      <c r="E14" s="312">
        <v>24058</v>
      </c>
      <c r="F14" s="77">
        <f t="shared" si="0"/>
        <v>223.56437405463117</v>
      </c>
      <c r="G14" s="77">
        <f t="shared" si="1"/>
        <v>99.84700912779307</v>
      </c>
      <c r="H14" s="300">
        <f t="shared" si="2"/>
        <v>208.88186881702552</v>
      </c>
    </row>
    <row r="15" spans="1:8" ht="19.5" customHeight="1">
      <c r="A15" s="81" t="s">
        <v>90</v>
      </c>
      <c r="B15" s="313">
        <v>25284</v>
      </c>
      <c r="C15" s="291">
        <v>207861.88</v>
      </c>
      <c r="D15" s="81">
        <v>157003.23</v>
      </c>
      <c r="E15" s="312">
        <v>182777</v>
      </c>
      <c r="F15" s="77">
        <f t="shared" si="0"/>
        <v>620.9588277171334</v>
      </c>
      <c r="G15" s="77">
        <f t="shared" si="1"/>
        <v>75.53247858626123</v>
      </c>
      <c r="H15" s="300">
        <f t="shared" si="2"/>
        <v>85.8987892349694</v>
      </c>
    </row>
    <row r="16" spans="1:8" ht="19.5" customHeight="1">
      <c r="A16" s="81" t="s">
        <v>91</v>
      </c>
      <c r="B16" s="313">
        <f>23194+26</f>
        <v>23220</v>
      </c>
      <c r="C16" s="291">
        <v>63781.15</v>
      </c>
      <c r="D16" s="81">
        <v>68402.15</v>
      </c>
      <c r="E16" s="312">
        <v>60737</v>
      </c>
      <c r="F16" s="77">
        <f t="shared" si="0"/>
        <v>294.58290267011193</v>
      </c>
      <c r="G16" s="77">
        <f t="shared" si="1"/>
        <v>107.24508730243967</v>
      </c>
      <c r="H16" s="300">
        <f t="shared" si="2"/>
        <v>112.62023148986613</v>
      </c>
    </row>
    <row r="17" spans="1:8" ht="19.5" customHeight="1">
      <c r="A17" s="81" t="s">
        <v>92</v>
      </c>
      <c r="B17" s="313">
        <v>1508</v>
      </c>
      <c r="C17" s="291">
        <v>4519.08</v>
      </c>
      <c r="D17" s="81">
        <v>4519.08</v>
      </c>
      <c r="E17" s="312">
        <v>2288</v>
      </c>
      <c r="F17" s="77">
        <f t="shared" si="0"/>
        <v>299.6737400530504</v>
      </c>
      <c r="G17" s="77">
        <f t="shared" si="1"/>
        <v>100</v>
      </c>
      <c r="H17" s="300">
        <f t="shared" si="2"/>
        <v>197.51223776223776</v>
      </c>
    </row>
    <row r="18" spans="1:8" ht="19.5" customHeight="1">
      <c r="A18" s="81" t="s">
        <v>93</v>
      </c>
      <c r="B18" s="313">
        <v>1647</v>
      </c>
      <c r="C18" s="291">
        <v>7083.14</v>
      </c>
      <c r="D18" s="81">
        <v>6750.03</v>
      </c>
      <c r="E18" s="312">
        <v>20901</v>
      </c>
      <c r="F18" s="77">
        <f t="shared" si="0"/>
        <v>409.8378870673953</v>
      </c>
      <c r="G18" s="77">
        <f t="shared" si="1"/>
        <v>95.29714222788198</v>
      </c>
      <c r="H18" s="300">
        <f t="shared" si="2"/>
        <v>32.29524903114683</v>
      </c>
    </row>
    <row r="19" spans="1:8" ht="19.5" customHeight="1">
      <c r="A19" s="81" t="s">
        <v>94</v>
      </c>
      <c r="B19" s="311">
        <v>2650</v>
      </c>
      <c r="C19" s="291">
        <v>3182</v>
      </c>
      <c r="D19" s="81">
        <v>3182</v>
      </c>
      <c r="E19" s="312">
        <v>3154</v>
      </c>
      <c r="F19" s="77">
        <f t="shared" si="0"/>
        <v>120.0754716981132</v>
      </c>
      <c r="G19" s="77">
        <f t="shared" si="1"/>
        <v>100</v>
      </c>
      <c r="H19" s="300">
        <f t="shared" si="2"/>
        <v>100.88776157260622</v>
      </c>
    </row>
    <row r="20" spans="1:8" ht="19.5" customHeight="1">
      <c r="A20" s="81" t="s">
        <v>95</v>
      </c>
      <c r="B20" s="311">
        <v>50</v>
      </c>
      <c r="C20" s="291">
        <v>51</v>
      </c>
      <c r="D20" s="81">
        <v>51</v>
      </c>
      <c r="E20" s="312">
        <v>18</v>
      </c>
      <c r="F20" s="77">
        <f t="shared" si="0"/>
        <v>102</v>
      </c>
      <c r="G20" s="77">
        <f t="shared" si="1"/>
        <v>100</v>
      </c>
      <c r="H20" s="300">
        <f t="shared" si="2"/>
        <v>283.33333333333337</v>
      </c>
    </row>
    <row r="21" spans="1:8" ht="19.5" customHeight="1">
      <c r="A21" s="81" t="s">
        <v>96</v>
      </c>
      <c r="B21" s="311">
        <v>2280</v>
      </c>
      <c r="C21" s="291">
        <v>2780</v>
      </c>
      <c r="D21" s="81">
        <v>2780</v>
      </c>
      <c r="E21" s="312">
        <v>3500</v>
      </c>
      <c r="F21" s="77">
        <f t="shared" si="0"/>
        <v>121.9298245614035</v>
      </c>
      <c r="G21" s="77">
        <f t="shared" si="1"/>
        <v>100</v>
      </c>
      <c r="H21" s="300">
        <f t="shared" si="2"/>
        <v>79.42857142857143</v>
      </c>
    </row>
    <row r="22" spans="1:8" ht="19.5" customHeight="1">
      <c r="A22" s="81" t="s">
        <v>97</v>
      </c>
      <c r="B22" s="311">
        <v>4580</v>
      </c>
      <c r="C22" s="291">
        <v>4975.34</v>
      </c>
      <c r="D22" s="81">
        <v>4313.34</v>
      </c>
      <c r="E22" s="312">
        <v>5993</v>
      </c>
      <c r="F22" s="77">
        <f t="shared" si="0"/>
        <v>94.17772925764193</v>
      </c>
      <c r="G22" s="77">
        <f t="shared" si="1"/>
        <v>86.69437666571531</v>
      </c>
      <c r="H22" s="300">
        <f t="shared" si="2"/>
        <v>71.97296846320708</v>
      </c>
    </row>
    <row r="23" spans="1:8" ht="19.5" customHeight="1">
      <c r="A23" s="81" t="s">
        <v>98</v>
      </c>
      <c r="B23" s="311">
        <v>29587</v>
      </c>
      <c r="C23" s="291">
        <v>29808</v>
      </c>
      <c r="D23" s="81">
        <v>10511</v>
      </c>
      <c r="E23" s="312">
        <v>10042</v>
      </c>
      <c r="F23" s="77">
        <f t="shared" si="0"/>
        <v>35.5257376550512</v>
      </c>
      <c r="G23" s="77">
        <f t="shared" si="1"/>
        <v>35.26234567901235</v>
      </c>
      <c r="H23" s="300">
        <f t="shared" si="2"/>
        <v>104.67038438558056</v>
      </c>
    </row>
    <row r="24" spans="1:8" ht="19.5" customHeight="1">
      <c r="A24" s="81" t="s">
        <v>99</v>
      </c>
      <c r="B24" s="311">
        <v>698</v>
      </c>
      <c r="C24" s="291">
        <v>666</v>
      </c>
      <c r="D24" s="81">
        <v>666</v>
      </c>
      <c r="E24" s="312">
        <v>575</v>
      </c>
      <c r="F24" s="77">
        <f t="shared" si="0"/>
        <v>95.41547277936962</v>
      </c>
      <c r="G24" s="77">
        <f t="shared" si="1"/>
        <v>100</v>
      </c>
      <c r="H24" s="300">
        <f t="shared" si="2"/>
        <v>115.82608695652175</v>
      </c>
    </row>
    <row r="25" spans="1:8" ht="19.5" customHeight="1">
      <c r="A25" s="314" t="s">
        <v>100</v>
      </c>
      <c r="B25" s="311">
        <v>6091</v>
      </c>
      <c r="C25" s="291">
        <v>9196.76</v>
      </c>
      <c r="D25" s="81">
        <v>9196.76</v>
      </c>
      <c r="E25" s="81"/>
      <c r="F25" s="77"/>
      <c r="G25" s="77">
        <f t="shared" si="1"/>
        <v>100</v>
      </c>
      <c r="H25" s="300"/>
    </row>
    <row r="26" spans="1:8" ht="19.5" customHeight="1">
      <c r="A26" s="81" t="s">
        <v>101</v>
      </c>
      <c r="B26" s="311">
        <v>11800</v>
      </c>
      <c r="C26" s="291">
        <v>18215.69</v>
      </c>
      <c r="D26" s="291">
        <v>0</v>
      </c>
      <c r="E26" s="315"/>
      <c r="F26" s="77">
        <f aca="true" t="shared" si="3" ref="F26:F32">IF(B26=0,0,D26/B26*100)</f>
        <v>0</v>
      </c>
      <c r="G26" s="77">
        <f t="shared" si="1"/>
        <v>0</v>
      </c>
      <c r="H26" s="300">
        <f aca="true" t="shared" si="4" ref="H26:H32">IF(E26=0,0,D26/E26*100)</f>
        <v>0</v>
      </c>
    </row>
    <row r="27" spans="1:8" ht="19.5" customHeight="1">
      <c r="A27" s="81" t="s">
        <v>102</v>
      </c>
      <c r="B27" s="311">
        <f>55341+3000</f>
        <v>58341</v>
      </c>
      <c r="C27" s="291">
        <f>200512+5</f>
        <v>200517</v>
      </c>
      <c r="D27" s="81">
        <f>473+5</f>
        <v>478</v>
      </c>
      <c r="E27" s="312">
        <v>116</v>
      </c>
      <c r="F27" s="77">
        <f t="shared" si="3"/>
        <v>0.8193208892545552</v>
      </c>
      <c r="G27" s="77">
        <f t="shared" si="1"/>
        <v>0.2383837779340405</v>
      </c>
      <c r="H27" s="300">
        <f t="shared" si="4"/>
        <v>412.0689655172414</v>
      </c>
    </row>
    <row r="28" spans="1:8" ht="19.5" customHeight="1">
      <c r="A28" s="81" t="s">
        <v>103</v>
      </c>
      <c r="B28" s="311">
        <v>161610</v>
      </c>
      <c r="C28" s="291"/>
      <c r="D28" s="81"/>
      <c r="E28" s="312"/>
      <c r="F28" s="77">
        <f t="shared" si="3"/>
        <v>0</v>
      </c>
      <c r="G28" s="77">
        <f t="shared" si="1"/>
        <v>0</v>
      </c>
      <c r="H28" s="300">
        <f t="shared" si="4"/>
        <v>0</v>
      </c>
    </row>
    <row r="29" spans="1:8" ht="19.5" customHeight="1">
      <c r="A29" s="81" t="s">
        <v>104</v>
      </c>
      <c r="B29" s="311">
        <v>14323</v>
      </c>
      <c r="C29" s="291">
        <v>14340</v>
      </c>
      <c r="D29" s="81">
        <v>14340</v>
      </c>
      <c r="E29" s="312">
        <v>13167</v>
      </c>
      <c r="F29" s="77">
        <f t="shared" si="3"/>
        <v>100.11869021852964</v>
      </c>
      <c r="G29" s="77">
        <f t="shared" si="1"/>
        <v>100</v>
      </c>
      <c r="H29" s="300">
        <f t="shared" si="4"/>
        <v>108.90863522442469</v>
      </c>
    </row>
    <row r="30" spans="1:8" ht="19.5" customHeight="1">
      <c r="A30" s="81" t="s">
        <v>105</v>
      </c>
      <c r="B30" s="311">
        <v>1</v>
      </c>
      <c r="C30" s="291">
        <v>35</v>
      </c>
      <c r="D30" s="298">
        <v>35</v>
      </c>
      <c r="E30" s="81">
        <v>25</v>
      </c>
      <c r="F30" s="77">
        <f t="shared" si="3"/>
        <v>3500</v>
      </c>
      <c r="G30" s="77">
        <f t="shared" si="1"/>
        <v>100</v>
      </c>
      <c r="H30" s="300">
        <f t="shared" si="4"/>
        <v>140</v>
      </c>
    </row>
    <row r="31" spans="1:8" ht="19.5" customHeight="1">
      <c r="A31" s="310" t="s">
        <v>106</v>
      </c>
      <c r="B31" s="316">
        <f>SUM(B32)</f>
        <v>20470</v>
      </c>
      <c r="C31" s="316">
        <f>SUM(C32)</f>
        <v>20470</v>
      </c>
      <c r="D31" s="316">
        <f>SUM(D32)</f>
        <v>20470</v>
      </c>
      <c r="E31" s="316">
        <f>SUM(E32)</f>
        <v>800</v>
      </c>
      <c r="F31" s="77">
        <f t="shared" si="3"/>
        <v>100</v>
      </c>
      <c r="G31" s="77">
        <f t="shared" si="1"/>
        <v>100</v>
      </c>
      <c r="H31" s="300">
        <f t="shared" si="4"/>
        <v>2558.75</v>
      </c>
    </row>
    <row r="32" spans="1:8" ht="19.5" customHeight="1">
      <c r="A32" s="81" t="s">
        <v>107</v>
      </c>
      <c r="B32" s="317">
        <v>20470</v>
      </c>
      <c r="C32" s="317">
        <v>20470</v>
      </c>
      <c r="D32" s="317">
        <v>20470</v>
      </c>
      <c r="E32" s="318">
        <v>800</v>
      </c>
      <c r="F32" s="77">
        <f t="shared" si="3"/>
        <v>100</v>
      </c>
      <c r="G32" s="77">
        <f t="shared" si="1"/>
        <v>100</v>
      </c>
      <c r="H32" s="300">
        <f t="shared" si="4"/>
        <v>2558.75</v>
      </c>
    </row>
  </sheetData>
  <sheetProtection/>
  <mergeCells count="1">
    <mergeCell ref="A2:H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5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3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1" sqref="M11"/>
    </sheetView>
  </sheetViews>
  <sheetFormatPr defaultColWidth="9.00390625" defaultRowHeight="17.25" customHeight="1"/>
  <cols>
    <col min="1" max="1" width="34.25390625" style="259" customWidth="1"/>
    <col min="2" max="2" width="13.00390625" style="259" customWidth="1"/>
    <col min="3" max="4" width="12.625" style="259" customWidth="1"/>
    <col min="5" max="5" width="11.50390625" style="259" hidden="1" customWidth="1"/>
    <col min="6" max="6" width="11.625" style="259" customWidth="1"/>
    <col min="7" max="7" width="15.75390625" style="259" customWidth="1"/>
    <col min="8" max="8" width="11.75390625" style="259" customWidth="1"/>
    <col min="9" max="9" width="14.25390625" style="259" customWidth="1"/>
    <col min="10" max="16384" width="9.00390625" style="259" customWidth="1"/>
  </cols>
  <sheetData>
    <row r="1" spans="1:9" ht="17.25" customHeight="1">
      <c r="A1" s="90" t="s">
        <v>108</v>
      </c>
      <c r="B1" s="91"/>
      <c r="C1" s="91"/>
      <c r="D1" s="91"/>
      <c r="E1" s="91"/>
      <c r="F1" s="91"/>
      <c r="G1" s="91"/>
      <c r="H1" s="91"/>
      <c r="I1" s="91"/>
    </row>
    <row r="2" spans="1:9" ht="17.25" customHeight="1">
      <c r="A2" s="364" t="s">
        <v>109</v>
      </c>
      <c r="B2" s="364"/>
      <c r="C2" s="364"/>
      <c r="D2" s="364"/>
      <c r="E2" s="364"/>
      <c r="F2" s="364"/>
      <c r="G2" s="364"/>
      <c r="H2" s="364"/>
      <c r="I2" s="364"/>
    </row>
    <row r="3" spans="1:9" ht="17.25" customHeight="1">
      <c r="A3" s="91"/>
      <c r="B3" s="91"/>
      <c r="C3" s="91"/>
      <c r="D3" s="283"/>
      <c r="E3" s="283"/>
      <c r="F3" s="283"/>
      <c r="G3" s="262"/>
      <c r="H3" s="262"/>
      <c r="I3" s="262" t="s">
        <v>6</v>
      </c>
    </row>
    <row r="4" spans="1:9" ht="29.25" customHeight="1">
      <c r="A4" s="284" t="s">
        <v>74</v>
      </c>
      <c r="B4" s="285" t="s">
        <v>8</v>
      </c>
      <c r="C4" s="286" t="s">
        <v>9</v>
      </c>
      <c r="D4" s="286" t="s">
        <v>110</v>
      </c>
      <c r="E4" s="286" t="s">
        <v>111</v>
      </c>
      <c r="F4" s="287" t="s">
        <v>76</v>
      </c>
      <c r="G4" s="288" t="s">
        <v>112</v>
      </c>
      <c r="H4" s="289" t="s">
        <v>113</v>
      </c>
      <c r="I4" s="299" t="s">
        <v>79</v>
      </c>
    </row>
    <row r="5" spans="1:9" ht="17.25" customHeight="1">
      <c r="A5" s="290" t="s">
        <v>80</v>
      </c>
      <c r="B5" s="81">
        <f>SUM(B6,B31)</f>
        <v>605698</v>
      </c>
      <c r="C5" s="291">
        <f>SUM(C6,C31)</f>
        <v>880675</v>
      </c>
      <c r="D5" s="291">
        <f>SUM(D6,D31)</f>
        <v>742723</v>
      </c>
      <c r="E5" s="291">
        <f>SUM(E6,E31)</f>
        <v>0</v>
      </c>
      <c r="F5" s="291">
        <f>SUM(F6,F31)</f>
        <v>658628</v>
      </c>
      <c r="G5" s="292">
        <f aca="true" t="shared" si="0" ref="G5:G20">IF(B5=0,0,D5/B5*100)</f>
        <v>122.62266013756032</v>
      </c>
      <c r="H5" s="77">
        <f>IF(C5=0,0,D5/C5*100)</f>
        <v>84.33565163085134</v>
      </c>
      <c r="I5" s="300">
        <f>IF(D5=0,0,D5/F5*100)</f>
        <v>112.76820906490461</v>
      </c>
    </row>
    <row r="6" spans="1:9" ht="17.25" customHeight="1">
      <c r="A6" s="293" t="s">
        <v>81</v>
      </c>
      <c r="B6" s="81">
        <f>SUM(B7:B30)</f>
        <v>585228</v>
      </c>
      <c r="C6" s="291">
        <f>SUM(C7:C30)</f>
        <v>860205</v>
      </c>
      <c r="D6" s="291">
        <f>SUM(D7:D30)</f>
        <v>722253</v>
      </c>
      <c r="E6" s="291">
        <f>SUM(E7:E30)</f>
        <v>0</v>
      </c>
      <c r="F6" s="294">
        <f>SUM(F7:F30)</f>
        <v>657828</v>
      </c>
      <c r="G6" s="292">
        <f t="shared" si="0"/>
        <v>123.41395148557486</v>
      </c>
      <c r="H6" s="77">
        <f aca="true" t="shared" si="1" ref="H6:H32">IF(C6=0,0,D6/C6*100)</f>
        <v>83.96289256630686</v>
      </c>
      <c r="I6" s="300">
        <f aca="true" t="shared" si="2" ref="I6:I32">IF(D6=0,0,D6/F6*100)</f>
        <v>109.79359346212078</v>
      </c>
    </row>
    <row r="7" spans="1:9" ht="17.25" customHeight="1">
      <c r="A7" s="295" t="s">
        <v>82</v>
      </c>
      <c r="B7" s="296">
        <v>48835</v>
      </c>
      <c r="C7" s="291">
        <v>73013</v>
      </c>
      <c r="D7" s="291">
        <v>70896</v>
      </c>
      <c r="E7" s="291"/>
      <c r="F7" s="294">
        <v>49815</v>
      </c>
      <c r="G7" s="292">
        <f t="shared" si="0"/>
        <v>145.17456742090712</v>
      </c>
      <c r="H7" s="77">
        <f t="shared" si="1"/>
        <v>97.10051634640406</v>
      </c>
      <c r="I7" s="300">
        <f t="shared" si="2"/>
        <v>142.31857874134298</v>
      </c>
    </row>
    <row r="8" spans="1:9" ht="17.25" customHeight="1">
      <c r="A8" s="295" t="s">
        <v>83</v>
      </c>
      <c r="B8" s="296">
        <v>48002</v>
      </c>
      <c r="C8" s="291">
        <v>57258</v>
      </c>
      <c r="D8" s="291">
        <v>57166</v>
      </c>
      <c r="E8" s="291"/>
      <c r="F8" s="294">
        <v>56332</v>
      </c>
      <c r="G8" s="292">
        <f t="shared" si="0"/>
        <v>119.09087121369943</v>
      </c>
      <c r="H8" s="77">
        <f t="shared" si="1"/>
        <v>99.83932376261832</v>
      </c>
      <c r="I8" s="300">
        <f t="shared" si="2"/>
        <v>101.48050841440035</v>
      </c>
    </row>
    <row r="9" spans="1:9" ht="17.25" customHeight="1">
      <c r="A9" s="295" t="s">
        <v>84</v>
      </c>
      <c r="B9" s="296">
        <v>169013</v>
      </c>
      <c r="C9" s="291">
        <v>194347</v>
      </c>
      <c r="D9" s="291">
        <v>162514</v>
      </c>
      <c r="E9" s="291"/>
      <c r="F9" s="294">
        <v>150250</v>
      </c>
      <c r="G9" s="292">
        <f t="shared" si="0"/>
        <v>96.15473365954098</v>
      </c>
      <c r="H9" s="77">
        <f t="shared" si="1"/>
        <v>83.62053440495608</v>
      </c>
      <c r="I9" s="300">
        <f t="shared" si="2"/>
        <v>108.16239600665558</v>
      </c>
    </row>
    <row r="10" spans="1:9" ht="17.25" customHeight="1">
      <c r="A10" s="295" t="s">
        <v>85</v>
      </c>
      <c r="B10" s="296">
        <v>18102</v>
      </c>
      <c r="C10" s="291">
        <v>42552</v>
      </c>
      <c r="D10" s="291">
        <v>42492</v>
      </c>
      <c r="E10" s="291"/>
      <c r="F10" s="294">
        <v>25136</v>
      </c>
      <c r="G10" s="292">
        <f t="shared" si="0"/>
        <v>234.73649320517072</v>
      </c>
      <c r="H10" s="77">
        <f t="shared" si="1"/>
        <v>99.85899605188945</v>
      </c>
      <c r="I10" s="300">
        <f t="shared" si="2"/>
        <v>169.04837683004456</v>
      </c>
    </row>
    <row r="11" spans="1:9" ht="17.25" customHeight="1">
      <c r="A11" s="295" t="s">
        <v>86</v>
      </c>
      <c r="B11" s="296">
        <v>11039</v>
      </c>
      <c r="C11" s="291">
        <v>14354</v>
      </c>
      <c r="D11" s="291">
        <v>14354</v>
      </c>
      <c r="E11" s="291"/>
      <c r="F11" s="294">
        <v>10919</v>
      </c>
      <c r="G11" s="292">
        <f t="shared" si="0"/>
        <v>130.02989401213878</v>
      </c>
      <c r="H11" s="77">
        <f t="shared" si="1"/>
        <v>100</v>
      </c>
      <c r="I11" s="300">
        <f t="shared" si="2"/>
        <v>131.4589248099643</v>
      </c>
    </row>
    <row r="12" spans="1:9" ht="17.25" customHeight="1">
      <c r="A12" s="295" t="s">
        <v>87</v>
      </c>
      <c r="B12" s="296">
        <v>58051</v>
      </c>
      <c r="C12" s="291">
        <v>91691</v>
      </c>
      <c r="D12" s="291">
        <v>82153</v>
      </c>
      <c r="E12" s="291"/>
      <c r="F12" s="294">
        <v>64595</v>
      </c>
      <c r="G12" s="292">
        <f t="shared" si="0"/>
        <v>141.5186646224871</v>
      </c>
      <c r="H12" s="77">
        <f t="shared" si="1"/>
        <v>89.59767043657502</v>
      </c>
      <c r="I12" s="300">
        <f t="shared" si="2"/>
        <v>127.18167040792632</v>
      </c>
    </row>
    <row r="13" spans="1:9" ht="17.25" customHeight="1">
      <c r="A13" s="295" t="s">
        <v>88</v>
      </c>
      <c r="B13" s="296">
        <v>42641</v>
      </c>
      <c r="C13" s="291">
        <v>68288</v>
      </c>
      <c r="D13" s="291">
        <v>67273</v>
      </c>
      <c r="E13" s="291"/>
      <c r="F13" s="294">
        <v>68019</v>
      </c>
      <c r="G13" s="292">
        <f t="shared" si="0"/>
        <v>157.76599985929036</v>
      </c>
      <c r="H13" s="77">
        <f t="shared" si="1"/>
        <v>98.5136480787254</v>
      </c>
      <c r="I13" s="300">
        <f t="shared" si="2"/>
        <v>98.90324762198797</v>
      </c>
    </row>
    <row r="14" spans="1:9" ht="17.25" customHeight="1">
      <c r="A14" s="295" t="s">
        <v>89</v>
      </c>
      <c r="B14" s="296">
        <v>8999</v>
      </c>
      <c r="C14" s="291">
        <v>33732</v>
      </c>
      <c r="D14" s="291">
        <v>33655</v>
      </c>
      <c r="E14" s="291"/>
      <c r="F14" s="294">
        <v>20045</v>
      </c>
      <c r="G14" s="292">
        <f t="shared" si="0"/>
        <v>373.98599844427156</v>
      </c>
      <c r="H14" s="77">
        <f t="shared" si="1"/>
        <v>99.7717301079094</v>
      </c>
      <c r="I14" s="300">
        <f t="shared" si="2"/>
        <v>167.8972312297331</v>
      </c>
    </row>
    <row r="15" spans="1:9" ht="17.25" customHeight="1">
      <c r="A15" s="295" t="s">
        <v>90</v>
      </c>
      <c r="B15" s="296">
        <v>23873</v>
      </c>
      <c r="C15" s="291">
        <v>130861</v>
      </c>
      <c r="D15" s="291">
        <v>89204</v>
      </c>
      <c r="E15" s="291"/>
      <c r="F15" s="294">
        <v>101687</v>
      </c>
      <c r="G15" s="292">
        <f t="shared" si="0"/>
        <v>373.6606207849872</v>
      </c>
      <c r="H15" s="77">
        <f t="shared" si="1"/>
        <v>68.16698634428899</v>
      </c>
      <c r="I15" s="300">
        <f t="shared" si="2"/>
        <v>87.72409452535722</v>
      </c>
    </row>
    <row r="16" spans="1:9" ht="17.25" customHeight="1">
      <c r="A16" s="295" t="s">
        <v>91</v>
      </c>
      <c r="B16" s="296">
        <v>23117</v>
      </c>
      <c r="C16" s="291">
        <v>52174</v>
      </c>
      <c r="D16" s="291">
        <v>51725</v>
      </c>
      <c r="E16" s="291"/>
      <c r="F16" s="294">
        <v>53523</v>
      </c>
      <c r="G16" s="292">
        <f t="shared" si="0"/>
        <v>223.75308214733747</v>
      </c>
      <c r="H16" s="77">
        <f t="shared" si="1"/>
        <v>99.13941810096983</v>
      </c>
      <c r="I16" s="300">
        <f t="shared" si="2"/>
        <v>96.64069652299013</v>
      </c>
    </row>
    <row r="17" spans="1:9" ht="17.25" customHeight="1">
      <c r="A17" s="295" t="s">
        <v>92</v>
      </c>
      <c r="B17" s="296">
        <v>1508</v>
      </c>
      <c r="C17" s="81">
        <v>4333</v>
      </c>
      <c r="D17" s="81">
        <v>4333</v>
      </c>
      <c r="E17" s="81"/>
      <c r="F17" s="297">
        <v>2036</v>
      </c>
      <c r="G17" s="77">
        <f t="shared" si="0"/>
        <v>287.3342175066313</v>
      </c>
      <c r="H17" s="77">
        <f t="shared" si="1"/>
        <v>100</v>
      </c>
      <c r="I17" s="300">
        <f t="shared" si="2"/>
        <v>212.81925343811398</v>
      </c>
    </row>
    <row r="18" spans="1:9" ht="17.25" customHeight="1">
      <c r="A18" s="295" t="s">
        <v>93</v>
      </c>
      <c r="B18" s="296">
        <v>1647</v>
      </c>
      <c r="C18" s="81">
        <v>2316</v>
      </c>
      <c r="D18" s="81">
        <v>2316</v>
      </c>
      <c r="E18" s="81"/>
      <c r="F18" s="297">
        <v>13762</v>
      </c>
      <c r="G18" s="77">
        <f t="shared" si="0"/>
        <v>140.61930783242258</v>
      </c>
      <c r="H18" s="77">
        <f t="shared" si="1"/>
        <v>100</v>
      </c>
      <c r="I18" s="300">
        <f t="shared" si="2"/>
        <v>16.828949280627818</v>
      </c>
    </row>
    <row r="19" spans="1:9" ht="17.25" customHeight="1">
      <c r="A19" s="295" t="s">
        <v>94</v>
      </c>
      <c r="B19" s="296">
        <v>2650</v>
      </c>
      <c r="C19" s="81">
        <v>3182</v>
      </c>
      <c r="D19" s="81">
        <v>3182</v>
      </c>
      <c r="E19" s="81"/>
      <c r="F19" s="297">
        <v>3154</v>
      </c>
      <c r="G19" s="77">
        <f t="shared" si="0"/>
        <v>120.0754716981132</v>
      </c>
      <c r="H19" s="77">
        <f t="shared" si="1"/>
        <v>100</v>
      </c>
      <c r="I19" s="300">
        <f t="shared" si="2"/>
        <v>100.88776157260622</v>
      </c>
    </row>
    <row r="20" spans="1:9" ht="17.25" customHeight="1">
      <c r="A20" s="295" t="s">
        <v>95</v>
      </c>
      <c r="B20" s="296">
        <v>50</v>
      </c>
      <c r="C20" s="81">
        <v>51</v>
      </c>
      <c r="D20" s="81">
        <v>51</v>
      </c>
      <c r="E20" s="81"/>
      <c r="F20" s="297">
        <v>18</v>
      </c>
      <c r="G20" s="77">
        <f t="shared" si="0"/>
        <v>102</v>
      </c>
      <c r="H20" s="77">
        <f t="shared" si="1"/>
        <v>100</v>
      </c>
      <c r="I20" s="300">
        <f t="shared" si="2"/>
        <v>283.33333333333337</v>
      </c>
    </row>
    <row r="21" spans="1:9" ht="17.25" customHeight="1">
      <c r="A21" s="295" t="s">
        <v>96</v>
      </c>
      <c r="B21" s="296">
        <v>2280</v>
      </c>
      <c r="C21" s="81">
        <v>2780</v>
      </c>
      <c r="D21" s="81">
        <v>2780</v>
      </c>
      <c r="E21" s="81"/>
      <c r="F21" s="297">
        <v>3500</v>
      </c>
      <c r="G21" s="77"/>
      <c r="H21" s="77">
        <f t="shared" si="1"/>
        <v>100</v>
      </c>
      <c r="I21" s="300"/>
    </row>
    <row r="22" spans="1:9" ht="17.25" customHeight="1">
      <c r="A22" s="295" t="s">
        <v>97</v>
      </c>
      <c r="B22" s="296">
        <v>4580</v>
      </c>
      <c r="C22" s="81">
        <v>4788</v>
      </c>
      <c r="D22" s="81">
        <v>4126</v>
      </c>
      <c r="E22" s="81"/>
      <c r="F22" s="297">
        <v>5481</v>
      </c>
      <c r="G22" s="77">
        <f aca="true" t="shared" si="3" ref="G22:G32">IF(B22=0,0,D22/B22*100)</f>
        <v>90.08733624454149</v>
      </c>
      <c r="H22" s="77">
        <f t="shared" si="1"/>
        <v>86.17376775271512</v>
      </c>
      <c r="I22" s="300">
        <f t="shared" si="2"/>
        <v>75.27823389892355</v>
      </c>
    </row>
    <row r="23" spans="1:9" ht="17.25" customHeight="1">
      <c r="A23" s="295" t="s">
        <v>98</v>
      </c>
      <c r="B23" s="296">
        <v>29587</v>
      </c>
      <c r="C23" s="81">
        <v>29797</v>
      </c>
      <c r="D23" s="81">
        <v>10500</v>
      </c>
      <c r="E23" s="81"/>
      <c r="F23" s="297">
        <v>10022</v>
      </c>
      <c r="G23" s="77">
        <f t="shared" si="3"/>
        <v>35.48855916449792</v>
      </c>
      <c r="H23" s="77">
        <f t="shared" si="1"/>
        <v>35.23844682350572</v>
      </c>
      <c r="I23" s="300">
        <f t="shared" si="2"/>
        <v>104.76950708441429</v>
      </c>
    </row>
    <row r="24" spans="1:9" ht="17.25" customHeight="1">
      <c r="A24" s="295" t="s">
        <v>99</v>
      </c>
      <c r="B24" s="296">
        <v>698</v>
      </c>
      <c r="C24" s="81">
        <v>666</v>
      </c>
      <c r="D24" s="81">
        <v>666</v>
      </c>
      <c r="E24" s="81"/>
      <c r="F24" s="297">
        <v>575</v>
      </c>
      <c r="G24" s="77">
        <f t="shared" si="3"/>
        <v>95.41547277936962</v>
      </c>
      <c r="H24" s="77">
        <f t="shared" si="1"/>
        <v>100</v>
      </c>
      <c r="I24" s="300">
        <f t="shared" si="2"/>
        <v>115.82608695652175</v>
      </c>
    </row>
    <row r="25" spans="1:9" ht="17.25" customHeight="1">
      <c r="A25" s="267" t="s">
        <v>114</v>
      </c>
      <c r="B25" s="296">
        <v>6091</v>
      </c>
      <c r="C25" s="81">
        <v>8014</v>
      </c>
      <c r="D25" s="81">
        <v>8014</v>
      </c>
      <c r="E25" s="81"/>
      <c r="F25" s="297">
        <v>0</v>
      </c>
      <c r="G25" s="77">
        <f t="shared" si="3"/>
        <v>131.5711705795436</v>
      </c>
      <c r="H25" s="77">
        <f t="shared" si="1"/>
        <v>100</v>
      </c>
      <c r="I25" s="300" t="e">
        <f t="shared" si="2"/>
        <v>#DIV/0!</v>
      </c>
    </row>
    <row r="26" spans="1:9" ht="17.25" customHeight="1">
      <c r="A26" s="295" t="s">
        <v>101</v>
      </c>
      <c r="B26" s="296">
        <v>11800</v>
      </c>
      <c r="C26" s="296">
        <v>14800</v>
      </c>
      <c r="D26" s="81">
        <v>0</v>
      </c>
      <c r="E26" s="81"/>
      <c r="F26" s="297">
        <v>0</v>
      </c>
      <c r="G26" s="77">
        <f t="shared" si="3"/>
        <v>0</v>
      </c>
      <c r="H26" s="77">
        <f t="shared" si="1"/>
        <v>0</v>
      </c>
      <c r="I26" s="300">
        <f t="shared" si="2"/>
        <v>0</v>
      </c>
    </row>
    <row r="27" spans="1:9" ht="17.25" customHeight="1">
      <c r="A27" s="295" t="s">
        <v>102</v>
      </c>
      <c r="B27" s="296">
        <v>58341</v>
      </c>
      <c r="C27" s="296">
        <f>16828+5</f>
        <v>16833</v>
      </c>
      <c r="D27" s="81">
        <f>473+5</f>
        <v>478</v>
      </c>
      <c r="E27" s="81"/>
      <c r="F27" s="297">
        <v>5767</v>
      </c>
      <c r="G27" s="77">
        <f t="shared" si="3"/>
        <v>0.8193208892545552</v>
      </c>
      <c r="H27" s="77">
        <f t="shared" si="1"/>
        <v>2.8396601912909167</v>
      </c>
      <c r="I27" s="300">
        <f t="shared" si="2"/>
        <v>8.288538234784117</v>
      </c>
    </row>
    <row r="28" spans="1:9" ht="17.25" customHeight="1">
      <c r="A28" s="295" t="s">
        <v>103</v>
      </c>
      <c r="B28" s="296">
        <v>0</v>
      </c>
      <c r="C28" s="81">
        <v>0</v>
      </c>
      <c r="D28" s="81">
        <v>0</v>
      </c>
      <c r="E28" s="81"/>
      <c r="F28" s="297">
        <v>0</v>
      </c>
      <c r="G28" s="77">
        <f t="shared" si="3"/>
        <v>0</v>
      </c>
      <c r="H28" s="77">
        <f t="shared" si="1"/>
        <v>0</v>
      </c>
      <c r="I28" s="300">
        <f t="shared" si="2"/>
        <v>0</v>
      </c>
    </row>
    <row r="29" spans="1:9" ht="17.25" customHeight="1">
      <c r="A29" s="295" t="s">
        <v>104</v>
      </c>
      <c r="B29" s="296">
        <v>14323</v>
      </c>
      <c r="C29" s="81">
        <v>14340</v>
      </c>
      <c r="D29" s="81">
        <v>14340</v>
      </c>
      <c r="E29" s="81"/>
      <c r="F29" s="297">
        <v>13167</v>
      </c>
      <c r="G29" s="77">
        <f t="shared" si="3"/>
        <v>100.11869021852964</v>
      </c>
      <c r="H29" s="77">
        <f t="shared" si="1"/>
        <v>100</v>
      </c>
      <c r="I29" s="300">
        <f>IF(F29=0,0,D29/F29*100)</f>
        <v>108.90863522442469</v>
      </c>
    </row>
    <row r="30" spans="1:9" ht="17.25" customHeight="1">
      <c r="A30" s="295" t="s">
        <v>105</v>
      </c>
      <c r="B30" s="296">
        <v>1</v>
      </c>
      <c r="C30" s="81">
        <v>35</v>
      </c>
      <c r="D30" s="298">
        <v>35</v>
      </c>
      <c r="E30" s="81"/>
      <c r="F30" s="297">
        <v>25</v>
      </c>
      <c r="G30" s="77">
        <f t="shared" si="3"/>
        <v>3500</v>
      </c>
      <c r="H30" s="77">
        <f t="shared" si="1"/>
        <v>100</v>
      </c>
      <c r="I30" s="300">
        <f t="shared" si="2"/>
        <v>140</v>
      </c>
    </row>
    <row r="31" spans="1:9" ht="17.25" customHeight="1">
      <c r="A31" s="293" t="s">
        <v>106</v>
      </c>
      <c r="B31" s="298">
        <f>SUM(B32)</f>
        <v>20470</v>
      </c>
      <c r="C31" s="298">
        <f>SUM(C32)</f>
        <v>20470</v>
      </c>
      <c r="D31" s="298">
        <f>SUM(D32)</f>
        <v>20470</v>
      </c>
      <c r="E31" s="298">
        <f>SUM(E32)</f>
        <v>0</v>
      </c>
      <c r="F31" s="298">
        <f>SUM(F32)</f>
        <v>800</v>
      </c>
      <c r="G31" s="77">
        <f t="shared" si="3"/>
        <v>100</v>
      </c>
      <c r="H31" s="77">
        <f t="shared" si="1"/>
        <v>100</v>
      </c>
      <c r="I31" s="300">
        <f t="shared" si="2"/>
        <v>2558.75</v>
      </c>
    </row>
    <row r="32" spans="1:9" ht="17.25" customHeight="1">
      <c r="A32" s="295" t="s">
        <v>107</v>
      </c>
      <c r="B32" s="264">
        <v>20470</v>
      </c>
      <c r="C32" s="264">
        <v>20470</v>
      </c>
      <c r="D32" s="264">
        <v>20470</v>
      </c>
      <c r="E32" s="298"/>
      <c r="F32" s="297">
        <v>800</v>
      </c>
      <c r="G32" s="77">
        <f t="shared" si="3"/>
        <v>100</v>
      </c>
      <c r="H32" s="77">
        <f t="shared" si="1"/>
        <v>100</v>
      </c>
      <c r="I32" s="300">
        <f t="shared" si="2"/>
        <v>2558.75</v>
      </c>
    </row>
    <row r="33" ht="17.25" customHeight="1">
      <c r="A33" s="89" t="s">
        <v>115</v>
      </c>
    </row>
  </sheetData>
  <sheetProtection/>
  <mergeCells count="1">
    <mergeCell ref="A2:I2"/>
  </mergeCells>
  <printOptions horizontalCentered="1" verticalCentered="1"/>
  <pageMargins left="0.2362204724409449" right="0.2755905511811024" top="0.35" bottom="0.5905511811023623" header="0.31496062992125984" footer="0.31496062992125984"/>
  <pageSetup horizontalDpi="600" verticalDpi="600" orientation="landscape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54"/>
  <sheetViews>
    <sheetView workbookViewId="0" topLeftCell="A1">
      <selection activeCell="K9" sqref="K9"/>
    </sheetView>
  </sheetViews>
  <sheetFormatPr defaultColWidth="9.00390625" defaultRowHeight="14.25"/>
  <cols>
    <col min="1" max="1" width="32.50390625" style="259" customWidth="1"/>
    <col min="2" max="4" width="14.00390625" style="260" customWidth="1"/>
    <col min="5" max="5" width="13.25390625" style="259" hidden="1" customWidth="1"/>
    <col min="6" max="8" width="14.00390625" style="259" customWidth="1"/>
    <col min="9" max="16384" width="9.00390625" style="259" customWidth="1"/>
  </cols>
  <sheetData>
    <row r="1" ht="12.75">
      <c r="A1" s="90" t="s">
        <v>116</v>
      </c>
    </row>
    <row r="2" spans="1:8" ht="20.25">
      <c r="A2" s="365" t="s">
        <v>117</v>
      </c>
      <c r="B2" s="365"/>
      <c r="C2" s="365"/>
      <c r="D2" s="365"/>
      <c r="E2" s="365"/>
      <c r="F2" s="365"/>
      <c r="G2" s="365"/>
      <c r="H2" s="365"/>
    </row>
    <row r="3" spans="1:8" ht="12.75">
      <c r="A3" s="91"/>
      <c r="D3" s="261"/>
      <c r="H3" s="262" t="s">
        <v>6</v>
      </c>
    </row>
    <row r="4" spans="1:8" ht="19.5" customHeight="1">
      <c r="A4" s="366" t="s">
        <v>74</v>
      </c>
      <c r="B4" s="366" t="s">
        <v>8</v>
      </c>
      <c r="C4" s="366" t="s">
        <v>9</v>
      </c>
      <c r="D4" s="366" t="s">
        <v>118</v>
      </c>
      <c r="E4" s="367" t="s">
        <v>119</v>
      </c>
      <c r="F4" s="366" t="s">
        <v>112</v>
      </c>
      <c r="G4" s="366" t="s">
        <v>120</v>
      </c>
      <c r="H4" s="366" t="s">
        <v>121</v>
      </c>
    </row>
    <row r="5" spans="1:8" ht="19.5" customHeight="1">
      <c r="A5" s="366"/>
      <c r="B5" s="366"/>
      <c r="C5" s="366"/>
      <c r="D5" s="366"/>
      <c r="E5" s="367"/>
      <c r="F5" s="366"/>
      <c r="G5" s="366"/>
      <c r="H5" s="366"/>
    </row>
    <row r="6" spans="1:8" ht="19.5" customHeight="1">
      <c r="A6" s="263" t="s">
        <v>80</v>
      </c>
      <c r="B6" s="264">
        <f>B7+B52</f>
        <v>605697.5719999999</v>
      </c>
      <c r="C6" s="264">
        <f>C7+C52</f>
        <v>880675</v>
      </c>
      <c r="D6" s="264">
        <f>D7+D52</f>
        <v>742723</v>
      </c>
      <c r="E6" s="264">
        <f>E7+E52</f>
        <v>658628</v>
      </c>
      <c r="F6" s="265">
        <f>IF(B6=0,0,D6/B6*100)</f>
        <v>122.6227467855856</v>
      </c>
      <c r="G6" s="265">
        <f>IF(D6=0,0,D6/C6*100)</f>
        <v>84.33565163085134</v>
      </c>
      <c r="H6" s="265">
        <f>IF(D6=0,0,D6/E6*100)</f>
        <v>112.76820906490461</v>
      </c>
    </row>
    <row r="7" spans="1:8" ht="19.5" customHeight="1">
      <c r="A7" s="266" t="s">
        <v>122</v>
      </c>
      <c r="B7" s="264">
        <f>B8+B25+B49</f>
        <v>585227.5719999999</v>
      </c>
      <c r="C7" s="264">
        <f>C8+C25+C49</f>
        <v>860205</v>
      </c>
      <c r="D7" s="264">
        <f>D8+D25+D49</f>
        <v>722253</v>
      </c>
      <c r="E7" s="264">
        <f>E8+E25+E49</f>
        <v>657828</v>
      </c>
      <c r="F7" s="265">
        <f aca="true" t="shared" si="0" ref="F7:F54">IF(B7=0,0,D7/B7*100)</f>
        <v>123.41404174306403</v>
      </c>
      <c r="G7" s="265">
        <f aca="true" t="shared" si="1" ref="G7:G54">IF(D7=0,0,D7/C7*100)</f>
        <v>83.96289256630686</v>
      </c>
      <c r="H7" s="265">
        <f aca="true" t="shared" si="2" ref="H7:H54">IF(D7=0,0,D7/E7*100)</f>
        <v>109.79359346212078</v>
      </c>
    </row>
    <row r="8" spans="1:8" ht="19.5" customHeight="1">
      <c r="A8" s="266" t="s">
        <v>123</v>
      </c>
      <c r="B8" s="264">
        <f>SUM(B9:B24)</f>
        <v>279999.572</v>
      </c>
      <c r="C8" s="264">
        <f>SUM(C9:C24)</f>
        <v>290497</v>
      </c>
      <c r="D8" s="264">
        <f>SUM(D9:D24)</f>
        <v>272512</v>
      </c>
      <c r="E8" s="264">
        <f>SUM(E9:E24)</f>
        <v>241933</v>
      </c>
      <c r="F8" s="265">
        <f t="shared" si="0"/>
        <v>97.32586305524782</v>
      </c>
      <c r="G8" s="265">
        <f t="shared" si="1"/>
        <v>93.80888615028726</v>
      </c>
      <c r="H8" s="265">
        <f t="shared" si="2"/>
        <v>112.63944976501759</v>
      </c>
    </row>
    <row r="9" spans="1:8" ht="19.5" customHeight="1">
      <c r="A9" s="267" t="s">
        <v>124</v>
      </c>
      <c r="B9" s="268">
        <v>26071</v>
      </c>
      <c r="C9" s="264">
        <v>36310</v>
      </c>
      <c r="D9" s="269">
        <v>34672</v>
      </c>
      <c r="E9" s="270">
        <v>29978</v>
      </c>
      <c r="F9" s="265">
        <f t="shared" si="0"/>
        <v>132.9906792988378</v>
      </c>
      <c r="G9" s="265">
        <f t="shared" si="1"/>
        <v>95.48884604792069</v>
      </c>
      <c r="H9" s="265">
        <f t="shared" si="2"/>
        <v>115.65814930949362</v>
      </c>
    </row>
    <row r="10" spans="1:8" ht="19.5" customHeight="1">
      <c r="A10" s="267" t="s">
        <v>125</v>
      </c>
      <c r="B10" s="268">
        <v>45186</v>
      </c>
      <c r="C10" s="264">
        <v>52750</v>
      </c>
      <c r="D10" s="271">
        <v>52658</v>
      </c>
      <c r="E10" s="270">
        <v>43334</v>
      </c>
      <c r="F10" s="265">
        <f t="shared" si="0"/>
        <v>116.53609525074138</v>
      </c>
      <c r="G10" s="265">
        <f t="shared" si="1"/>
        <v>99.82559241706161</v>
      </c>
      <c r="H10" s="265">
        <f t="shared" si="2"/>
        <v>121.51659205242997</v>
      </c>
    </row>
    <row r="11" spans="1:8" ht="19.5" customHeight="1">
      <c r="A11" s="267" t="s">
        <v>126</v>
      </c>
      <c r="B11" s="268">
        <v>105227</v>
      </c>
      <c r="C11" s="264">
        <v>122546</v>
      </c>
      <c r="D11" s="271">
        <v>122494</v>
      </c>
      <c r="E11" s="270">
        <v>110436</v>
      </c>
      <c r="F11" s="265">
        <f t="shared" si="0"/>
        <v>116.40928658994365</v>
      </c>
      <c r="G11" s="265">
        <f t="shared" si="1"/>
        <v>99.95756695444976</v>
      </c>
      <c r="H11" s="265">
        <f t="shared" si="2"/>
        <v>110.91854105545293</v>
      </c>
    </row>
    <row r="12" spans="1:8" ht="19.5" customHeight="1">
      <c r="A12" s="267" t="s">
        <v>127</v>
      </c>
      <c r="B12" s="268">
        <v>620</v>
      </c>
      <c r="C12" s="264">
        <v>782</v>
      </c>
      <c r="D12" s="271">
        <v>782</v>
      </c>
      <c r="E12" s="270">
        <v>622</v>
      </c>
      <c r="F12" s="265">
        <f t="shared" si="0"/>
        <v>126.12903225806451</v>
      </c>
      <c r="G12" s="265">
        <f t="shared" si="1"/>
        <v>100</v>
      </c>
      <c r="H12" s="265">
        <f t="shared" si="2"/>
        <v>125.7234726688103</v>
      </c>
    </row>
    <row r="13" spans="1:8" ht="19.5" customHeight="1">
      <c r="A13" s="267" t="s">
        <v>128</v>
      </c>
      <c r="B13" s="268">
        <v>3075</v>
      </c>
      <c r="C13" s="264">
        <v>3984</v>
      </c>
      <c r="D13" s="271">
        <v>3984</v>
      </c>
      <c r="E13" s="270">
        <v>3385</v>
      </c>
      <c r="F13" s="265">
        <f t="shared" si="0"/>
        <v>129.5609756097561</v>
      </c>
      <c r="G13" s="265">
        <f t="shared" si="1"/>
        <v>100</v>
      </c>
      <c r="H13" s="265">
        <f t="shared" si="2"/>
        <v>117.69571639586411</v>
      </c>
    </row>
    <row r="14" spans="1:8" ht="19.5" customHeight="1">
      <c r="A14" s="267" t="s">
        <v>129</v>
      </c>
      <c r="B14" s="268">
        <v>2612</v>
      </c>
      <c r="C14" s="264">
        <v>3875</v>
      </c>
      <c r="D14" s="271">
        <v>3307</v>
      </c>
      <c r="E14" s="270">
        <v>2985</v>
      </c>
      <c r="F14" s="265">
        <f t="shared" si="0"/>
        <v>126.60796324655436</v>
      </c>
      <c r="G14" s="265">
        <f t="shared" si="1"/>
        <v>85.34193548387097</v>
      </c>
      <c r="H14" s="265">
        <f t="shared" si="2"/>
        <v>110.78726968174205</v>
      </c>
    </row>
    <row r="15" spans="1:8" ht="19.5" customHeight="1">
      <c r="A15" s="267" t="s">
        <v>130</v>
      </c>
      <c r="B15" s="268">
        <v>27782</v>
      </c>
      <c r="C15" s="264">
        <v>32913</v>
      </c>
      <c r="D15" s="271">
        <v>32428</v>
      </c>
      <c r="E15" s="270">
        <v>30439</v>
      </c>
      <c r="F15" s="265">
        <f t="shared" si="0"/>
        <v>116.72305809516953</v>
      </c>
      <c r="G15" s="265">
        <f t="shared" si="1"/>
        <v>98.52641813265275</v>
      </c>
      <c r="H15" s="265">
        <f t="shared" si="2"/>
        <v>106.5343802358816</v>
      </c>
    </row>
    <row r="16" spans="1:8" ht="19.5" customHeight="1">
      <c r="A16" s="267" t="s">
        <v>131</v>
      </c>
      <c r="B16" s="268">
        <v>1317</v>
      </c>
      <c r="C16" s="264">
        <v>1630</v>
      </c>
      <c r="D16" s="271">
        <v>1631</v>
      </c>
      <c r="E16" s="270">
        <v>1456</v>
      </c>
      <c r="F16" s="265">
        <f t="shared" si="0"/>
        <v>123.84206529992407</v>
      </c>
      <c r="G16" s="265">
        <f t="shared" si="1"/>
        <v>100.06134969325153</v>
      </c>
      <c r="H16" s="265">
        <f t="shared" si="2"/>
        <v>112.01923076923077</v>
      </c>
    </row>
    <row r="17" spans="1:8" ht="19.5" customHeight="1">
      <c r="A17" s="267" t="s">
        <v>132</v>
      </c>
      <c r="B17" s="268">
        <v>5906</v>
      </c>
      <c r="C17" s="264">
        <v>7027</v>
      </c>
      <c r="D17" s="271">
        <v>7027</v>
      </c>
      <c r="E17" s="270">
        <v>5756</v>
      </c>
      <c r="F17" s="265">
        <f t="shared" si="0"/>
        <v>118.98069759566543</v>
      </c>
      <c r="G17" s="265">
        <f t="shared" si="1"/>
        <v>100</v>
      </c>
      <c r="H17" s="265">
        <f t="shared" si="2"/>
        <v>122.0813064628214</v>
      </c>
    </row>
    <row r="18" spans="1:8" ht="19.5" customHeight="1">
      <c r="A18" s="267" t="s">
        <v>133</v>
      </c>
      <c r="B18" s="268">
        <v>6644</v>
      </c>
      <c r="C18" s="264">
        <v>7618</v>
      </c>
      <c r="D18" s="271">
        <v>7619</v>
      </c>
      <c r="E18" s="270">
        <v>7681</v>
      </c>
      <c r="F18" s="265">
        <f t="shared" si="0"/>
        <v>114.67489464178206</v>
      </c>
      <c r="G18" s="265">
        <f t="shared" si="1"/>
        <v>100.01312680493568</v>
      </c>
      <c r="H18" s="265">
        <f t="shared" si="2"/>
        <v>99.19281343575055</v>
      </c>
    </row>
    <row r="19" spans="1:8" ht="19.5" customHeight="1">
      <c r="A19" s="267" t="s">
        <v>134</v>
      </c>
      <c r="B19" s="268">
        <v>824</v>
      </c>
      <c r="C19" s="264">
        <v>962</v>
      </c>
      <c r="D19" s="271">
        <v>962</v>
      </c>
      <c r="E19" s="270">
        <v>1035</v>
      </c>
      <c r="F19" s="265">
        <f t="shared" si="0"/>
        <v>116.74757281553399</v>
      </c>
      <c r="G19" s="265">
        <f t="shared" si="1"/>
        <v>100</v>
      </c>
      <c r="H19" s="265">
        <f t="shared" si="2"/>
        <v>92.94685990338164</v>
      </c>
    </row>
    <row r="20" spans="1:8" ht="19.5" customHeight="1">
      <c r="A20" s="267" t="s">
        <v>135</v>
      </c>
      <c r="B20" s="268">
        <v>903</v>
      </c>
      <c r="C20" s="264">
        <v>1100</v>
      </c>
      <c r="D20" s="271">
        <v>1100</v>
      </c>
      <c r="E20" s="270">
        <v>2078</v>
      </c>
      <c r="F20" s="265">
        <f t="shared" si="0"/>
        <v>121.81616832779622</v>
      </c>
      <c r="G20" s="265">
        <f t="shared" si="1"/>
        <v>100</v>
      </c>
      <c r="H20" s="265">
        <f t="shared" si="2"/>
        <v>52.93551491819056</v>
      </c>
    </row>
    <row r="21" spans="1:8" ht="19.5" customHeight="1">
      <c r="A21" s="267" t="s">
        <v>136</v>
      </c>
      <c r="B21" s="268">
        <v>309</v>
      </c>
      <c r="C21" s="264">
        <v>329</v>
      </c>
      <c r="D21" s="271">
        <v>329</v>
      </c>
      <c r="E21" s="270">
        <v>349</v>
      </c>
      <c r="F21" s="265">
        <f t="shared" si="0"/>
        <v>106.4724919093851</v>
      </c>
      <c r="G21" s="265">
        <f t="shared" si="1"/>
        <v>100</v>
      </c>
      <c r="H21" s="265">
        <f t="shared" si="2"/>
        <v>94.26934097421203</v>
      </c>
    </row>
    <row r="22" spans="1:8" ht="19.5" customHeight="1">
      <c r="A22" s="267" t="s">
        <v>137</v>
      </c>
      <c r="B22" s="268">
        <v>2124</v>
      </c>
      <c r="C22" s="264">
        <v>2268</v>
      </c>
      <c r="D22" s="271">
        <v>2268</v>
      </c>
      <c r="E22" s="270">
        <v>2399</v>
      </c>
      <c r="F22" s="265">
        <f t="shared" si="0"/>
        <v>106.77966101694916</v>
      </c>
      <c r="G22" s="265">
        <f t="shared" si="1"/>
        <v>100</v>
      </c>
      <c r="H22" s="265">
        <f t="shared" si="2"/>
        <v>94.5393914130888</v>
      </c>
    </row>
    <row r="23" spans="1:8" ht="19.5" customHeight="1">
      <c r="A23" s="267" t="s">
        <v>138</v>
      </c>
      <c r="B23" s="272">
        <v>969</v>
      </c>
      <c r="C23" s="264">
        <v>1251</v>
      </c>
      <c r="D23" s="271">
        <v>1251</v>
      </c>
      <c r="E23" s="271"/>
      <c r="F23" s="265">
        <f t="shared" si="0"/>
        <v>129.10216718266255</v>
      </c>
      <c r="G23" s="265">
        <f t="shared" si="1"/>
        <v>100</v>
      </c>
      <c r="H23" s="265" t="e">
        <f t="shared" si="2"/>
        <v>#DIV/0!</v>
      </c>
    </row>
    <row r="24" spans="1:8" ht="19.5" customHeight="1">
      <c r="A24" s="267" t="s">
        <v>139</v>
      </c>
      <c r="B24" s="273">
        <f>50425.79+8.892-4.11</f>
        <v>50430.572</v>
      </c>
      <c r="C24" s="264">
        <v>15152</v>
      </c>
      <c r="D24" s="271">
        <v>0</v>
      </c>
      <c r="E24" s="271"/>
      <c r="F24" s="265">
        <f t="shared" si="0"/>
        <v>0</v>
      </c>
      <c r="G24" s="265">
        <f t="shared" si="1"/>
        <v>0</v>
      </c>
      <c r="H24" s="265">
        <f t="shared" si="2"/>
        <v>0</v>
      </c>
    </row>
    <row r="25" spans="1:8" ht="19.5" customHeight="1">
      <c r="A25" s="266" t="s">
        <v>140</v>
      </c>
      <c r="B25" s="264">
        <f>SUM(B26:B48)</f>
        <v>290428</v>
      </c>
      <c r="C25" s="264">
        <f>SUM(C26:C48)</f>
        <v>554908</v>
      </c>
      <c r="D25" s="264">
        <f>SUM(D26:D48)</f>
        <v>449741</v>
      </c>
      <c r="E25" s="264">
        <f>SUM(E26:E48)</f>
        <v>415895</v>
      </c>
      <c r="F25" s="265">
        <f t="shared" si="0"/>
        <v>154.8545594777363</v>
      </c>
      <c r="G25" s="265">
        <f t="shared" si="1"/>
        <v>81.04784937322944</v>
      </c>
      <c r="H25" s="265">
        <f t="shared" si="2"/>
        <v>108.13811178302215</v>
      </c>
    </row>
    <row r="26" spans="1:8" ht="19.5" customHeight="1">
      <c r="A26" s="267" t="s">
        <v>124</v>
      </c>
      <c r="B26" s="274">
        <v>22764</v>
      </c>
      <c r="C26" s="257">
        <v>36703</v>
      </c>
      <c r="D26" s="275">
        <v>36224</v>
      </c>
      <c r="E26" s="270">
        <v>19837</v>
      </c>
      <c r="F26" s="265">
        <f t="shared" si="0"/>
        <v>159.12844842734143</v>
      </c>
      <c r="G26" s="265">
        <f t="shared" si="1"/>
        <v>98.69492956978993</v>
      </c>
      <c r="H26" s="265">
        <f t="shared" si="2"/>
        <v>182.6082572969703</v>
      </c>
    </row>
    <row r="27" spans="1:8" ht="19.5" customHeight="1">
      <c r="A27" s="267" t="s">
        <v>125</v>
      </c>
      <c r="B27" s="274">
        <v>2816</v>
      </c>
      <c r="C27" s="257">
        <v>4508</v>
      </c>
      <c r="D27" s="271">
        <v>4508</v>
      </c>
      <c r="E27" s="270">
        <v>12998</v>
      </c>
      <c r="F27" s="265">
        <f t="shared" si="0"/>
        <v>160.08522727272728</v>
      </c>
      <c r="G27" s="265">
        <f t="shared" si="1"/>
        <v>100</v>
      </c>
      <c r="H27" s="265">
        <f t="shared" si="2"/>
        <v>34.682258809047546</v>
      </c>
    </row>
    <row r="28" spans="1:8" ht="19.5" customHeight="1">
      <c r="A28" s="267" t="s">
        <v>126</v>
      </c>
      <c r="B28" s="274">
        <v>63786</v>
      </c>
      <c r="C28" s="257">
        <v>71801</v>
      </c>
      <c r="D28" s="276">
        <v>40020</v>
      </c>
      <c r="E28" s="270">
        <v>39814</v>
      </c>
      <c r="F28" s="265">
        <f t="shared" si="0"/>
        <v>62.74104035368263</v>
      </c>
      <c r="G28" s="265">
        <f t="shared" si="1"/>
        <v>55.737385273185616</v>
      </c>
      <c r="H28" s="265">
        <f t="shared" si="2"/>
        <v>100.5174059376099</v>
      </c>
    </row>
    <row r="29" spans="1:8" ht="19.5" customHeight="1">
      <c r="A29" s="267" t="s">
        <v>127</v>
      </c>
      <c r="B29" s="274">
        <v>17482</v>
      </c>
      <c r="C29" s="257">
        <v>41770</v>
      </c>
      <c r="D29" s="275">
        <v>41710</v>
      </c>
      <c r="E29" s="270">
        <v>24514</v>
      </c>
      <c r="F29" s="265">
        <f t="shared" si="0"/>
        <v>238.58826221256152</v>
      </c>
      <c r="G29" s="265">
        <f t="shared" si="1"/>
        <v>99.8563562365334</v>
      </c>
      <c r="H29" s="265">
        <f t="shared" si="2"/>
        <v>170.14767071877296</v>
      </c>
    </row>
    <row r="30" spans="1:8" ht="19.5" customHeight="1">
      <c r="A30" s="267" t="s">
        <v>128</v>
      </c>
      <c r="B30" s="274">
        <v>7964</v>
      </c>
      <c r="C30" s="257">
        <v>10370</v>
      </c>
      <c r="D30" s="271">
        <v>10370</v>
      </c>
      <c r="E30" s="270">
        <v>7534</v>
      </c>
      <c r="F30" s="265">
        <f t="shared" si="0"/>
        <v>130.21094927172274</v>
      </c>
      <c r="G30" s="265">
        <f t="shared" si="1"/>
        <v>100</v>
      </c>
      <c r="H30" s="265">
        <f t="shared" si="2"/>
        <v>137.64268648792142</v>
      </c>
    </row>
    <row r="31" spans="1:8" ht="19.5" customHeight="1">
      <c r="A31" s="267" t="s">
        <v>129</v>
      </c>
      <c r="B31" s="274">
        <v>55439</v>
      </c>
      <c r="C31" s="276">
        <v>87816</v>
      </c>
      <c r="D31" s="275">
        <v>78846</v>
      </c>
      <c r="E31" s="270">
        <v>61610</v>
      </c>
      <c r="F31" s="265">
        <f t="shared" si="0"/>
        <v>142.22118003571492</v>
      </c>
      <c r="G31" s="265">
        <f t="shared" si="1"/>
        <v>89.78546050833562</v>
      </c>
      <c r="H31" s="265">
        <f t="shared" si="2"/>
        <v>127.97597792566143</v>
      </c>
    </row>
    <row r="32" spans="1:8" ht="19.5" customHeight="1">
      <c r="A32" s="267" t="s">
        <v>130</v>
      </c>
      <c r="B32" s="274">
        <v>14859</v>
      </c>
      <c r="C32" s="257">
        <v>35375</v>
      </c>
      <c r="D32" s="275">
        <v>34845</v>
      </c>
      <c r="E32" s="270">
        <v>37580</v>
      </c>
      <c r="F32" s="265">
        <f t="shared" si="0"/>
        <v>234.50434080355342</v>
      </c>
      <c r="G32" s="265">
        <f t="shared" si="1"/>
        <v>98.5017667844523</v>
      </c>
      <c r="H32" s="265">
        <f t="shared" si="2"/>
        <v>92.72219265566791</v>
      </c>
    </row>
    <row r="33" spans="1:8" ht="19.5" customHeight="1">
      <c r="A33" s="267" t="s">
        <v>131</v>
      </c>
      <c r="B33" s="274">
        <v>7682</v>
      </c>
      <c r="C33" s="257">
        <v>32102</v>
      </c>
      <c r="D33" s="277">
        <v>32024</v>
      </c>
      <c r="E33" s="270">
        <v>18589</v>
      </c>
      <c r="F33" s="265">
        <f t="shared" si="0"/>
        <v>416.8706066128612</v>
      </c>
      <c r="G33" s="265">
        <f t="shared" si="1"/>
        <v>99.7570244844558</v>
      </c>
      <c r="H33" s="265">
        <f t="shared" si="2"/>
        <v>172.27392543977624</v>
      </c>
    </row>
    <row r="34" spans="1:8" ht="19.5" customHeight="1">
      <c r="A34" s="267" t="s">
        <v>132</v>
      </c>
      <c r="B34" s="274">
        <v>17967</v>
      </c>
      <c r="C34" s="257">
        <f>126831-3000+3</f>
        <v>123834</v>
      </c>
      <c r="D34" s="277">
        <v>82177</v>
      </c>
      <c r="E34" s="270">
        <v>95931</v>
      </c>
      <c r="F34" s="265">
        <f t="shared" si="0"/>
        <v>457.37741414816054</v>
      </c>
      <c r="G34" s="265">
        <f t="shared" si="1"/>
        <v>66.36061178674677</v>
      </c>
      <c r="H34" s="265">
        <f t="shared" si="2"/>
        <v>85.66261166880362</v>
      </c>
    </row>
    <row r="35" spans="1:8" ht="19.5" customHeight="1">
      <c r="A35" s="267" t="s">
        <v>133</v>
      </c>
      <c r="B35" s="274">
        <v>16473</v>
      </c>
      <c r="C35" s="257">
        <v>44556</v>
      </c>
      <c r="D35" s="277">
        <v>44106</v>
      </c>
      <c r="E35" s="270">
        <v>45842</v>
      </c>
      <c r="F35" s="265">
        <f t="shared" si="0"/>
        <v>267.74722272810055</v>
      </c>
      <c r="G35" s="265">
        <f t="shared" si="1"/>
        <v>98.99003501211958</v>
      </c>
      <c r="H35" s="265">
        <f t="shared" si="2"/>
        <v>96.2130797085642</v>
      </c>
    </row>
    <row r="36" spans="1:8" ht="19.5" customHeight="1">
      <c r="A36" s="267" t="s">
        <v>134</v>
      </c>
      <c r="B36" s="274">
        <v>684</v>
      </c>
      <c r="C36" s="257">
        <v>3371</v>
      </c>
      <c r="D36" s="277">
        <v>3371</v>
      </c>
      <c r="E36" s="270">
        <v>1001</v>
      </c>
      <c r="F36" s="265">
        <f t="shared" si="0"/>
        <v>492.8362573099415</v>
      </c>
      <c r="G36" s="265">
        <f t="shared" si="1"/>
        <v>100</v>
      </c>
      <c r="H36" s="265">
        <f t="shared" si="2"/>
        <v>336.76323676323676</v>
      </c>
    </row>
    <row r="37" spans="1:8" ht="19.5" customHeight="1">
      <c r="A37" s="267" t="s">
        <v>135</v>
      </c>
      <c r="B37" s="274">
        <v>744</v>
      </c>
      <c r="C37" s="257">
        <v>1216</v>
      </c>
      <c r="D37" s="275">
        <v>1216</v>
      </c>
      <c r="E37" s="270">
        <v>11684</v>
      </c>
      <c r="F37" s="265">
        <f t="shared" si="0"/>
        <v>163.44086021505376</v>
      </c>
      <c r="G37" s="265">
        <f t="shared" si="1"/>
        <v>100</v>
      </c>
      <c r="H37" s="265">
        <f t="shared" si="2"/>
        <v>10.407394727832935</v>
      </c>
    </row>
    <row r="38" spans="1:8" ht="19.5" customHeight="1">
      <c r="A38" s="267" t="s">
        <v>136</v>
      </c>
      <c r="B38" s="274">
        <v>2341</v>
      </c>
      <c r="C38" s="257">
        <v>2853</v>
      </c>
      <c r="D38" s="275">
        <v>2853</v>
      </c>
      <c r="E38" s="270">
        <v>2805</v>
      </c>
      <c r="F38" s="265">
        <f t="shared" si="0"/>
        <v>121.87099530115336</v>
      </c>
      <c r="G38" s="265">
        <f t="shared" si="1"/>
        <v>100</v>
      </c>
      <c r="H38" s="265">
        <f t="shared" si="2"/>
        <v>101.71122994652406</v>
      </c>
    </row>
    <row r="39" spans="1:8" ht="19.5" customHeight="1">
      <c r="A39" s="267" t="s">
        <v>141</v>
      </c>
      <c r="B39" s="278">
        <v>50</v>
      </c>
      <c r="C39" s="257">
        <v>51</v>
      </c>
      <c r="D39" s="275">
        <v>51</v>
      </c>
      <c r="E39" s="270">
        <v>18</v>
      </c>
      <c r="F39" s="265">
        <f t="shared" si="0"/>
        <v>102</v>
      </c>
      <c r="G39" s="265">
        <f t="shared" si="1"/>
        <v>100</v>
      </c>
      <c r="H39" s="265">
        <f t="shared" si="2"/>
        <v>283.33333333333337</v>
      </c>
    </row>
    <row r="40" spans="1:8" ht="19.5" customHeight="1">
      <c r="A40" s="267" t="s">
        <v>142</v>
      </c>
      <c r="B40" s="278">
        <v>2280</v>
      </c>
      <c r="C40" s="257">
        <v>2780</v>
      </c>
      <c r="D40" s="271">
        <v>2780</v>
      </c>
      <c r="E40" s="270">
        <v>3500</v>
      </c>
      <c r="F40" s="265">
        <f t="shared" si="0"/>
        <v>121.9298245614035</v>
      </c>
      <c r="G40" s="265"/>
      <c r="H40" s="265"/>
    </row>
    <row r="41" spans="1:8" ht="19.5" customHeight="1">
      <c r="A41" s="267" t="s">
        <v>137</v>
      </c>
      <c r="B41" s="274">
        <v>2456</v>
      </c>
      <c r="C41" s="257">
        <v>2520</v>
      </c>
      <c r="D41" s="275">
        <v>1858</v>
      </c>
      <c r="E41" s="270">
        <v>3082</v>
      </c>
      <c r="F41" s="265">
        <f t="shared" si="0"/>
        <v>75.6514657980456</v>
      </c>
      <c r="G41" s="265">
        <f t="shared" si="1"/>
        <v>73.73015873015873</v>
      </c>
      <c r="H41" s="265">
        <f t="shared" si="2"/>
        <v>60.28552887735237</v>
      </c>
    </row>
    <row r="42" spans="1:8" ht="19.5" customHeight="1">
      <c r="A42" s="267" t="s">
        <v>143</v>
      </c>
      <c r="B42" s="274">
        <v>29587</v>
      </c>
      <c r="C42" s="257">
        <v>29797</v>
      </c>
      <c r="D42" s="275">
        <v>10500</v>
      </c>
      <c r="E42" s="270">
        <v>10022</v>
      </c>
      <c r="F42" s="265">
        <f t="shared" si="0"/>
        <v>35.48855916449792</v>
      </c>
      <c r="G42" s="265">
        <f t="shared" si="1"/>
        <v>35.23844682350572</v>
      </c>
      <c r="H42" s="265">
        <f t="shared" si="2"/>
        <v>104.76950708441429</v>
      </c>
    </row>
    <row r="43" spans="1:8" ht="19.5" customHeight="1">
      <c r="A43" s="267" t="s">
        <v>144</v>
      </c>
      <c r="B43" s="274">
        <v>698</v>
      </c>
      <c r="C43" s="257">
        <v>666</v>
      </c>
      <c r="D43" s="275">
        <v>666</v>
      </c>
      <c r="E43" s="270">
        <v>575</v>
      </c>
      <c r="F43" s="265">
        <f t="shared" si="0"/>
        <v>95.41547277936962</v>
      </c>
      <c r="G43" s="265">
        <f t="shared" si="1"/>
        <v>100</v>
      </c>
      <c r="H43" s="265">
        <f t="shared" si="2"/>
        <v>115.82608695652175</v>
      </c>
    </row>
    <row r="44" spans="1:8" ht="19.5" customHeight="1">
      <c r="A44" s="267" t="s">
        <v>138</v>
      </c>
      <c r="B44" s="274">
        <v>5122</v>
      </c>
      <c r="C44" s="257">
        <v>6763</v>
      </c>
      <c r="D44" s="275">
        <v>6763</v>
      </c>
      <c r="E44" s="279"/>
      <c r="F44" s="265">
        <f t="shared" si="0"/>
        <v>132.0382663022257</v>
      </c>
      <c r="G44" s="265">
        <f t="shared" si="1"/>
        <v>100</v>
      </c>
      <c r="H44" s="265"/>
    </row>
    <row r="45" spans="1:8" ht="19.5" customHeight="1">
      <c r="A45" s="267" t="s">
        <v>139</v>
      </c>
      <c r="B45" s="274">
        <v>4910</v>
      </c>
      <c r="C45" s="257">
        <f>1676+5</f>
        <v>1681</v>
      </c>
      <c r="D45" s="275">
        <f>473+5</f>
        <v>478</v>
      </c>
      <c r="E45" s="270">
        <v>5767</v>
      </c>
      <c r="F45" s="265">
        <f t="shared" si="0"/>
        <v>9.735234215885948</v>
      </c>
      <c r="G45" s="265">
        <f t="shared" si="1"/>
        <v>28.435455086258184</v>
      </c>
      <c r="H45" s="265">
        <f t="shared" si="2"/>
        <v>8.288538234784117</v>
      </c>
    </row>
    <row r="46" spans="1:8" ht="19.5" customHeight="1">
      <c r="A46" s="267" t="s">
        <v>145</v>
      </c>
      <c r="B46" s="278"/>
      <c r="C46" s="257"/>
      <c r="D46" s="280"/>
      <c r="E46" s="281"/>
      <c r="F46" s="265">
        <f t="shared" si="0"/>
        <v>0</v>
      </c>
      <c r="G46" s="265">
        <f t="shared" si="1"/>
        <v>0</v>
      </c>
      <c r="H46" s="265">
        <f t="shared" si="2"/>
        <v>0</v>
      </c>
    </row>
    <row r="47" spans="1:8" ht="19.5" customHeight="1">
      <c r="A47" s="267" t="s">
        <v>146</v>
      </c>
      <c r="B47" s="274">
        <v>14323</v>
      </c>
      <c r="C47" s="257">
        <v>14340</v>
      </c>
      <c r="D47" s="271">
        <v>14340</v>
      </c>
      <c r="E47" s="270">
        <v>13167</v>
      </c>
      <c r="F47" s="265">
        <f t="shared" si="0"/>
        <v>100.11869021852964</v>
      </c>
      <c r="G47" s="265">
        <f t="shared" si="1"/>
        <v>100</v>
      </c>
      <c r="H47" s="265">
        <f>IF(E47=0,0,D47/E47*100)</f>
        <v>108.90863522442469</v>
      </c>
    </row>
    <row r="48" spans="1:8" ht="19.5" customHeight="1">
      <c r="A48" s="267" t="s">
        <v>147</v>
      </c>
      <c r="B48" s="278">
        <v>1</v>
      </c>
      <c r="C48" s="257">
        <v>35</v>
      </c>
      <c r="D48" s="271">
        <v>35</v>
      </c>
      <c r="E48" s="270">
        <v>25</v>
      </c>
      <c r="F48" s="265">
        <f t="shared" si="0"/>
        <v>3500</v>
      </c>
      <c r="G48" s="265">
        <f t="shared" si="1"/>
        <v>100</v>
      </c>
      <c r="H48" s="265">
        <f t="shared" si="2"/>
        <v>140</v>
      </c>
    </row>
    <row r="49" spans="1:8" ht="19.5" customHeight="1">
      <c r="A49" s="266" t="s">
        <v>148</v>
      </c>
      <c r="B49" s="264">
        <f>SUM(B50:B51)</f>
        <v>14800</v>
      </c>
      <c r="C49" s="264">
        <f>SUM(C50:C51)</f>
        <v>14800</v>
      </c>
      <c r="D49" s="271">
        <v>0</v>
      </c>
      <c r="E49" s="271">
        <v>0</v>
      </c>
      <c r="F49" s="265">
        <f t="shared" si="0"/>
        <v>0</v>
      </c>
      <c r="G49" s="265">
        <f t="shared" si="1"/>
        <v>0</v>
      </c>
      <c r="H49" s="265">
        <f t="shared" si="2"/>
        <v>0</v>
      </c>
    </row>
    <row r="50" spans="1:8" ht="19.5" customHeight="1">
      <c r="A50" s="267" t="s">
        <v>149</v>
      </c>
      <c r="B50" s="274">
        <v>11800</v>
      </c>
      <c r="C50" s="274">
        <v>11800</v>
      </c>
      <c r="D50" s="271"/>
      <c r="E50" s="271"/>
      <c r="F50" s="265">
        <f t="shared" si="0"/>
        <v>0</v>
      </c>
      <c r="G50" s="265">
        <f t="shared" si="1"/>
        <v>0</v>
      </c>
      <c r="H50" s="265">
        <f t="shared" si="2"/>
        <v>0</v>
      </c>
    </row>
    <row r="51" spans="1:8" ht="19.5" customHeight="1">
      <c r="A51" s="267" t="s">
        <v>139</v>
      </c>
      <c r="B51" s="274">
        <v>3000</v>
      </c>
      <c r="C51" s="274">
        <v>3000</v>
      </c>
      <c r="D51" s="271"/>
      <c r="E51" s="271"/>
      <c r="F51" s="265">
        <f t="shared" si="0"/>
        <v>0</v>
      </c>
      <c r="G51" s="265">
        <f t="shared" si="1"/>
        <v>0</v>
      </c>
      <c r="H51" s="265">
        <f t="shared" si="2"/>
        <v>0</v>
      </c>
    </row>
    <row r="52" spans="1:8" ht="19.5" customHeight="1">
      <c r="A52" s="266" t="s">
        <v>150</v>
      </c>
      <c r="B52" s="282">
        <f aca="true" t="shared" si="3" ref="B52:D53">B53</f>
        <v>20470</v>
      </c>
      <c r="C52" s="282">
        <f t="shared" si="3"/>
        <v>20470</v>
      </c>
      <c r="D52" s="282">
        <f t="shared" si="3"/>
        <v>20470</v>
      </c>
      <c r="E52" s="282">
        <f>E53</f>
        <v>800</v>
      </c>
      <c r="F52" s="265">
        <f t="shared" si="0"/>
        <v>100</v>
      </c>
      <c r="G52" s="265">
        <f t="shared" si="1"/>
        <v>100</v>
      </c>
      <c r="H52" s="265">
        <f t="shared" si="2"/>
        <v>2558.75</v>
      </c>
    </row>
    <row r="53" spans="1:8" ht="19.5" customHeight="1">
      <c r="A53" s="267" t="s">
        <v>140</v>
      </c>
      <c r="B53" s="282">
        <f t="shared" si="3"/>
        <v>20470</v>
      </c>
      <c r="C53" s="282">
        <f t="shared" si="3"/>
        <v>20470</v>
      </c>
      <c r="D53" s="282">
        <f t="shared" si="3"/>
        <v>20470</v>
      </c>
      <c r="E53" s="282">
        <f>E54</f>
        <v>800</v>
      </c>
      <c r="F53" s="265">
        <f t="shared" si="0"/>
        <v>100</v>
      </c>
      <c r="G53" s="265">
        <f t="shared" si="1"/>
        <v>100</v>
      </c>
      <c r="H53" s="265">
        <f t="shared" si="2"/>
        <v>2558.75</v>
      </c>
    </row>
    <row r="54" spans="1:8" ht="19.5" customHeight="1">
      <c r="A54" s="267" t="s">
        <v>151</v>
      </c>
      <c r="B54" s="264">
        <v>20470</v>
      </c>
      <c r="C54" s="264">
        <v>20470</v>
      </c>
      <c r="D54" s="264">
        <v>20470</v>
      </c>
      <c r="E54" s="271">
        <v>800</v>
      </c>
      <c r="F54" s="265">
        <f t="shared" si="0"/>
        <v>100</v>
      </c>
      <c r="G54" s="265">
        <f t="shared" si="1"/>
        <v>100</v>
      </c>
      <c r="H54" s="265">
        <f t="shared" si="2"/>
        <v>2558.75</v>
      </c>
    </row>
  </sheetData>
  <sheetProtection/>
  <autoFilter ref="A5:H54"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3937007874015748" right="0.31496062992125984" top="0.5511811023622047" bottom="0.5905511811023623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712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" sqref="K8"/>
    </sheetView>
  </sheetViews>
  <sheetFormatPr defaultColWidth="9.00390625" defaultRowHeight="14.25"/>
  <cols>
    <col min="1" max="1" width="58.25390625" style="241" bestFit="1" customWidth="1"/>
    <col min="2" max="3" width="10.25390625" style="241" bestFit="1" customWidth="1"/>
    <col min="4" max="4" width="12.625" style="241" bestFit="1" customWidth="1"/>
    <col min="5" max="5" width="15.25390625" style="241" customWidth="1"/>
    <col min="6" max="6" width="12.25390625" style="241" customWidth="1"/>
    <col min="7" max="7" width="15.00390625" style="241" customWidth="1"/>
    <col min="8" max="16384" width="9.00390625" style="241" customWidth="1"/>
  </cols>
  <sheetData>
    <row r="1" spans="1:7" ht="15">
      <c r="A1" s="208" t="s">
        <v>152</v>
      </c>
      <c r="B1" s="242"/>
      <c r="C1" s="243"/>
      <c r="D1" s="243"/>
      <c r="E1" s="243"/>
      <c r="F1" s="243"/>
      <c r="G1" s="243"/>
    </row>
    <row r="2" spans="1:7" ht="20.25">
      <c r="A2" s="368" t="s">
        <v>153</v>
      </c>
      <c r="B2" s="368"/>
      <c r="C2" s="368"/>
      <c r="D2" s="368"/>
      <c r="E2" s="368"/>
      <c r="F2" s="368"/>
      <c r="G2" s="368"/>
    </row>
    <row r="3" spans="1:7" ht="15">
      <c r="A3" s="209"/>
      <c r="B3" s="210"/>
      <c r="C3" s="244"/>
      <c r="D3" s="211"/>
      <c r="E3" s="211"/>
      <c r="F3" s="211"/>
      <c r="G3" s="212" t="s">
        <v>6</v>
      </c>
    </row>
    <row r="4" spans="1:7" ht="19.5" customHeight="1">
      <c r="A4" s="369" t="s">
        <v>74</v>
      </c>
      <c r="B4" s="371" t="s">
        <v>8</v>
      </c>
      <c r="C4" s="369" t="s">
        <v>9</v>
      </c>
      <c r="D4" s="369" t="s">
        <v>118</v>
      </c>
      <c r="E4" s="367" t="s">
        <v>119</v>
      </c>
      <c r="F4" s="373" t="s">
        <v>154</v>
      </c>
      <c r="G4" s="373" t="s">
        <v>155</v>
      </c>
    </row>
    <row r="5" spans="1:7" ht="19.5" customHeight="1">
      <c r="A5" s="370"/>
      <c r="B5" s="372"/>
      <c r="C5" s="370"/>
      <c r="D5" s="370"/>
      <c r="E5" s="367"/>
      <c r="F5" s="373"/>
      <c r="G5" s="373"/>
    </row>
    <row r="6" spans="1:7" ht="19.5" customHeight="1">
      <c r="A6" s="245" t="s">
        <v>80</v>
      </c>
      <c r="B6" s="215">
        <f>SUM(B7,B709)</f>
        <v>605698.19</v>
      </c>
      <c r="C6" s="215">
        <f>SUM(C7,C709)</f>
        <v>880675.07</v>
      </c>
      <c r="D6" s="215">
        <f>SUM(D7,D709)</f>
        <v>742721</v>
      </c>
      <c r="E6" s="215">
        <f>SUM(E7,E709)</f>
        <v>658379</v>
      </c>
      <c r="F6" s="216">
        <f>IF(B6=0,0,D6/B6*100)</f>
        <v>122.62229147490106</v>
      </c>
      <c r="G6" s="216">
        <f>IF(D6=0,0,D6/C6*100)</f>
        <v>84.3354178289616</v>
      </c>
    </row>
    <row r="7" spans="1:7" ht="19.5" customHeight="1">
      <c r="A7" s="246" t="s">
        <v>122</v>
      </c>
      <c r="B7" s="215">
        <f>SUM(B8,B205,B704)</f>
        <v>585228.19</v>
      </c>
      <c r="C7" s="215">
        <f>SUM(C8,C205,C704)</f>
        <v>860205.07</v>
      </c>
      <c r="D7" s="215">
        <f>SUM(D8,D205,D704)</f>
        <v>722251</v>
      </c>
      <c r="E7" s="215">
        <f>SUM(E8,E205,E704)</f>
        <v>657579</v>
      </c>
      <c r="F7" s="216">
        <f aca="true" t="shared" si="0" ref="F7:F76">IF(B7=0,0,D7/B7*100)</f>
        <v>123.41356967100306</v>
      </c>
      <c r="G7" s="216">
        <f aca="true" t="shared" si="1" ref="G7:G76">IF(D7=0,0,D7/C7*100)</f>
        <v>83.96265323104873</v>
      </c>
    </row>
    <row r="8" spans="1:7" ht="19.5" customHeight="1">
      <c r="A8" s="246" t="s">
        <v>123</v>
      </c>
      <c r="B8" s="215">
        <f>SUM(B9,B53,B64,B84,B90,B101,B128,B151,B156,B165,B174,B178,B186,B189,B195,B203)</f>
        <v>280000.19</v>
      </c>
      <c r="C8" s="215">
        <f>SUM(C9,C53,C64,C84,C90,C101,C128,C151,C156,C165,C174,C178,C186,C189,C195,C200,C203)</f>
        <v>290497.35</v>
      </c>
      <c r="D8" s="215">
        <f>SUM(D9,D53,D64,D84,D90,D101,D128,D151,D156,D165,D174,D178,D186,D189,D195,D200,D203)</f>
        <v>272512</v>
      </c>
      <c r="E8" s="215">
        <f>SUM(E9,E53,E64,E84,E90,E101,E128,E151,E156,E165,E174,E178,E186,E189,E195,E203)</f>
        <v>241933</v>
      </c>
      <c r="F8" s="216">
        <f t="shared" si="0"/>
        <v>97.32564824331011</v>
      </c>
      <c r="G8" s="216">
        <f t="shared" si="1"/>
        <v>93.80877312650185</v>
      </c>
    </row>
    <row r="9" spans="1:7" ht="19.5" customHeight="1">
      <c r="A9" s="214" t="s">
        <v>124</v>
      </c>
      <c r="B9" s="215">
        <f>SUM(B10,B12,B14,B18,B21,B24,B27,B30,B33,B35,B37,B40,B42,B45)</f>
        <v>26071.148</v>
      </c>
      <c r="C9" s="215">
        <f>SUM(C10,C12,C14,C18,C21,C24,C27,C30,C33,C35,C37,C40,C42,C45,C48,C50)</f>
        <v>36307.35</v>
      </c>
      <c r="D9" s="215">
        <f>SUM(D10,D12,D14,D18,D21,D24,D27,D30,D33,D35,D37,D40,D42,D45,D48,D50)-1</f>
        <v>34672</v>
      </c>
      <c r="E9" s="215">
        <f>SUM(E10,E12,E14,E18,E21,E24,E27,E30,E33,E35,E37,E40,E42,E45)</f>
        <v>29978</v>
      </c>
      <c r="F9" s="216">
        <f t="shared" si="0"/>
        <v>132.98992434088441</v>
      </c>
      <c r="G9" s="216">
        <f t="shared" si="1"/>
        <v>95.49581558554948</v>
      </c>
    </row>
    <row r="10" spans="1:7" ht="19.5" customHeight="1">
      <c r="A10" s="214" t="s">
        <v>156</v>
      </c>
      <c r="B10" s="215">
        <f>SUM(B11)</f>
        <v>737</v>
      </c>
      <c r="C10" s="215">
        <f>SUM(C11)</f>
        <v>873</v>
      </c>
      <c r="D10" s="215">
        <f>SUM(D11)</f>
        <v>873</v>
      </c>
      <c r="E10" s="215">
        <f>SUM(E11)</f>
        <v>931</v>
      </c>
      <c r="F10" s="216">
        <f t="shared" si="0"/>
        <v>118.45318860244234</v>
      </c>
      <c r="G10" s="216">
        <f t="shared" si="1"/>
        <v>100</v>
      </c>
    </row>
    <row r="11" spans="1:7" ht="19.5" customHeight="1">
      <c r="A11" s="214" t="s">
        <v>157</v>
      </c>
      <c r="B11" s="215">
        <v>737</v>
      </c>
      <c r="C11" s="215">
        <f>873</f>
        <v>873</v>
      </c>
      <c r="D11" s="215">
        <v>873</v>
      </c>
      <c r="E11" s="215">
        <v>931</v>
      </c>
      <c r="F11" s="216">
        <f t="shared" si="0"/>
        <v>118.45318860244234</v>
      </c>
      <c r="G11" s="216">
        <f t="shared" si="1"/>
        <v>100</v>
      </c>
    </row>
    <row r="12" spans="1:7" ht="19.5" customHeight="1">
      <c r="A12" s="214" t="s">
        <v>158</v>
      </c>
      <c r="B12" s="215">
        <f>SUM(B13)</f>
        <v>845</v>
      </c>
      <c r="C12" s="215">
        <f>SUM(C13)</f>
        <v>972</v>
      </c>
      <c r="D12" s="215">
        <f>SUM(D13)</f>
        <v>972</v>
      </c>
      <c r="E12" s="215">
        <f>SUM(E13)</f>
        <v>993</v>
      </c>
      <c r="F12" s="216">
        <f t="shared" si="0"/>
        <v>115.02958579881657</v>
      </c>
      <c r="G12" s="216">
        <f t="shared" si="1"/>
        <v>100</v>
      </c>
    </row>
    <row r="13" spans="1:7" ht="19.5" customHeight="1">
      <c r="A13" s="214" t="s">
        <v>159</v>
      </c>
      <c r="B13" s="215">
        <v>845</v>
      </c>
      <c r="C13" s="215">
        <v>972</v>
      </c>
      <c r="D13" s="215">
        <v>972</v>
      </c>
      <c r="E13" s="215">
        <v>993</v>
      </c>
      <c r="F13" s="216">
        <f t="shared" si="0"/>
        <v>115.02958579881657</v>
      </c>
      <c r="G13" s="216">
        <f t="shared" si="1"/>
        <v>100</v>
      </c>
    </row>
    <row r="14" spans="1:7" ht="19.5" customHeight="1">
      <c r="A14" s="214" t="s">
        <v>160</v>
      </c>
      <c r="B14" s="215">
        <f>SUM(B15:B17)</f>
        <v>12355</v>
      </c>
      <c r="C14" s="215">
        <f>SUM(C15:C17)</f>
        <v>14317</v>
      </c>
      <c r="D14" s="215">
        <f>SUM(D15:D17)</f>
        <v>14317</v>
      </c>
      <c r="E14" s="215">
        <f>SUM(E15:E17)</f>
        <v>14097</v>
      </c>
      <c r="F14" s="216">
        <f t="shared" si="0"/>
        <v>115.88021044111696</v>
      </c>
      <c r="G14" s="216">
        <f t="shared" si="1"/>
        <v>100</v>
      </c>
    </row>
    <row r="15" spans="1:7" ht="19.5" customHeight="1">
      <c r="A15" s="214" t="s">
        <v>161</v>
      </c>
      <c r="B15" s="215">
        <v>9004</v>
      </c>
      <c r="C15" s="215">
        <v>10455</v>
      </c>
      <c r="D15" s="215">
        <v>10455</v>
      </c>
      <c r="E15" s="215">
        <v>10359</v>
      </c>
      <c r="F15" s="216">
        <f t="shared" si="0"/>
        <v>116.11505997334517</v>
      </c>
      <c r="G15" s="216">
        <f t="shared" si="1"/>
        <v>100</v>
      </c>
    </row>
    <row r="16" spans="1:7" ht="19.5" customHeight="1">
      <c r="A16" s="214" t="s">
        <v>162</v>
      </c>
      <c r="B16" s="215">
        <v>213</v>
      </c>
      <c r="C16" s="215">
        <v>192</v>
      </c>
      <c r="D16" s="215">
        <v>192</v>
      </c>
      <c r="E16" s="215">
        <v>247</v>
      </c>
      <c r="F16" s="216">
        <f t="shared" si="0"/>
        <v>90.14084507042254</v>
      </c>
      <c r="G16" s="216">
        <f t="shared" si="1"/>
        <v>100</v>
      </c>
    </row>
    <row r="17" spans="1:7" ht="19.5" customHeight="1">
      <c r="A17" s="214" t="s">
        <v>163</v>
      </c>
      <c r="B17" s="215">
        <v>3138</v>
      </c>
      <c r="C17" s="215">
        <v>3670</v>
      </c>
      <c r="D17" s="215">
        <v>3670</v>
      </c>
      <c r="E17" s="215">
        <v>3491</v>
      </c>
      <c r="F17" s="216">
        <f t="shared" si="0"/>
        <v>116.95347355003187</v>
      </c>
      <c r="G17" s="216">
        <f t="shared" si="1"/>
        <v>100</v>
      </c>
    </row>
    <row r="18" spans="1:7" ht="19.5" customHeight="1">
      <c r="A18" s="214" t="s">
        <v>164</v>
      </c>
      <c r="B18" s="215">
        <f>SUM(B19)</f>
        <v>727</v>
      </c>
      <c r="C18" s="215">
        <f>SUM(C19:C20)</f>
        <v>961</v>
      </c>
      <c r="D18" s="215">
        <f>SUM(D19:D20)</f>
        <v>961</v>
      </c>
      <c r="E18" s="215">
        <f>SUM(E19)</f>
        <v>978</v>
      </c>
      <c r="F18" s="216">
        <f t="shared" si="0"/>
        <v>132.18707015130673</v>
      </c>
      <c r="G18" s="216">
        <f t="shared" si="1"/>
        <v>100</v>
      </c>
    </row>
    <row r="19" spans="1:7" ht="19.5" customHeight="1">
      <c r="A19" s="214" t="s">
        <v>165</v>
      </c>
      <c r="B19" s="215">
        <v>727</v>
      </c>
      <c r="C19" s="215">
        <v>916</v>
      </c>
      <c r="D19" s="215">
        <v>916</v>
      </c>
      <c r="E19" s="215">
        <v>978</v>
      </c>
      <c r="F19" s="216">
        <f t="shared" si="0"/>
        <v>125.99724896836312</v>
      </c>
      <c r="G19" s="216">
        <f t="shared" si="1"/>
        <v>100</v>
      </c>
    </row>
    <row r="20" spans="1:7" ht="19.5" customHeight="1">
      <c r="A20" s="247" t="s">
        <v>166</v>
      </c>
      <c r="B20" s="215"/>
      <c r="C20" s="215">
        <v>45</v>
      </c>
      <c r="D20" s="215">
        <v>45</v>
      </c>
      <c r="E20" s="215"/>
      <c r="F20" s="216"/>
      <c r="G20" s="216"/>
    </row>
    <row r="21" spans="1:7" ht="19.5" customHeight="1">
      <c r="A21" s="214" t="s">
        <v>167</v>
      </c>
      <c r="B21" s="215">
        <f>SUM(B22:B23)</f>
        <v>764</v>
      </c>
      <c r="C21" s="215">
        <f>SUM(C22:C23)</f>
        <v>947</v>
      </c>
      <c r="D21" s="215">
        <f>SUM(D22:D23)</f>
        <v>947</v>
      </c>
      <c r="E21" s="215">
        <f>SUM(E22:E23)</f>
        <v>852</v>
      </c>
      <c r="F21" s="216">
        <f t="shared" si="0"/>
        <v>123.95287958115185</v>
      </c>
      <c r="G21" s="216">
        <f t="shared" si="1"/>
        <v>100</v>
      </c>
    </row>
    <row r="22" spans="1:7" ht="19.5" customHeight="1">
      <c r="A22" s="214" t="s">
        <v>168</v>
      </c>
      <c r="B22" s="215">
        <v>764</v>
      </c>
      <c r="C22" s="215">
        <v>947</v>
      </c>
      <c r="D22" s="215">
        <v>947</v>
      </c>
      <c r="E22" s="215">
        <v>852</v>
      </c>
      <c r="F22" s="216">
        <f t="shared" si="0"/>
        <v>123.95287958115185</v>
      </c>
      <c r="G22" s="216">
        <f t="shared" si="1"/>
        <v>100</v>
      </c>
    </row>
    <row r="23" spans="1:7" ht="19.5" customHeight="1">
      <c r="A23" s="214" t="s">
        <v>169</v>
      </c>
      <c r="B23" s="215"/>
      <c r="C23" s="215"/>
      <c r="D23" s="215"/>
      <c r="E23" s="215"/>
      <c r="F23" s="216">
        <f t="shared" si="0"/>
        <v>0</v>
      </c>
      <c r="G23" s="216">
        <f t="shared" si="1"/>
        <v>0</v>
      </c>
    </row>
    <row r="24" spans="1:7" ht="19.5" customHeight="1">
      <c r="A24" s="214" t="s">
        <v>170</v>
      </c>
      <c r="B24" s="215">
        <f>SUM(B25:B26)</f>
        <v>1228</v>
      </c>
      <c r="C24" s="215">
        <f>SUM(C25:C26)</f>
        <v>1414</v>
      </c>
      <c r="D24" s="215">
        <f>SUM(D25:D26)</f>
        <v>1414</v>
      </c>
      <c r="E24" s="215">
        <f>SUM(E25:E26)</f>
        <v>1533</v>
      </c>
      <c r="F24" s="216">
        <f t="shared" si="0"/>
        <v>115.14657980456026</v>
      </c>
      <c r="G24" s="216">
        <f t="shared" si="1"/>
        <v>100</v>
      </c>
    </row>
    <row r="25" spans="1:7" ht="19.5" customHeight="1">
      <c r="A25" s="214" t="s">
        <v>171</v>
      </c>
      <c r="B25" s="215">
        <v>976</v>
      </c>
      <c r="C25" s="215">
        <v>1137</v>
      </c>
      <c r="D25" s="215">
        <v>1137</v>
      </c>
      <c r="E25" s="215">
        <v>1288</v>
      </c>
      <c r="F25" s="216">
        <f t="shared" si="0"/>
        <v>116.49590163934427</v>
      </c>
      <c r="G25" s="216">
        <f t="shared" si="1"/>
        <v>100</v>
      </c>
    </row>
    <row r="26" spans="1:7" ht="19.5" customHeight="1">
      <c r="A26" s="214" t="s">
        <v>172</v>
      </c>
      <c r="B26" s="215">
        <v>252</v>
      </c>
      <c r="C26" s="215">
        <v>277</v>
      </c>
      <c r="D26" s="215">
        <v>277</v>
      </c>
      <c r="E26" s="215">
        <v>245</v>
      </c>
      <c r="F26" s="216">
        <f t="shared" si="0"/>
        <v>109.92063492063492</v>
      </c>
      <c r="G26" s="216">
        <f t="shared" si="1"/>
        <v>100</v>
      </c>
    </row>
    <row r="27" spans="1:7" ht="19.5" customHeight="1">
      <c r="A27" s="214" t="s">
        <v>173</v>
      </c>
      <c r="B27" s="215">
        <f>SUM(B28:B29)</f>
        <v>830</v>
      </c>
      <c r="C27" s="215">
        <f>SUM(C28:C29)</f>
        <v>871</v>
      </c>
      <c r="D27" s="215">
        <f>SUM(D28:D29)</f>
        <v>871</v>
      </c>
      <c r="E27" s="215">
        <f>SUM(E28:E29)</f>
        <v>956</v>
      </c>
      <c r="F27" s="216">
        <f t="shared" si="0"/>
        <v>104.93975903614458</v>
      </c>
      <c r="G27" s="216">
        <f t="shared" si="1"/>
        <v>100</v>
      </c>
    </row>
    <row r="28" spans="1:7" ht="19.5" customHeight="1">
      <c r="A28" s="214" t="s">
        <v>174</v>
      </c>
      <c r="B28" s="215">
        <v>706</v>
      </c>
      <c r="C28" s="215">
        <v>832</v>
      </c>
      <c r="D28" s="215">
        <v>832</v>
      </c>
      <c r="E28" s="215">
        <v>841</v>
      </c>
      <c r="F28" s="216">
        <f t="shared" si="0"/>
        <v>117.8470254957507</v>
      </c>
      <c r="G28" s="216">
        <f t="shared" si="1"/>
        <v>100</v>
      </c>
    </row>
    <row r="29" spans="1:7" ht="19.5" customHeight="1">
      <c r="A29" s="214" t="s">
        <v>175</v>
      </c>
      <c r="B29" s="215">
        <v>124</v>
      </c>
      <c r="C29" s="215">
        <v>39</v>
      </c>
      <c r="D29" s="215">
        <v>39</v>
      </c>
      <c r="E29" s="215">
        <v>115</v>
      </c>
      <c r="F29" s="216">
        <f t="shared" si="0"/>
        <v>31.451612903225808</v>
      </c>
      <c r="G29" s="216">
        <f t="shared" si="1"/>
        <v>100</v>
      </c>
    </row>
    <row r="30" spans="1:7" ht="19.5" customHeight="1">
      <c r="A30" s="214" t="s">
        <v>176</v>
      </c>
      <c r="B30" s="215">
        <f>SUM(B31:B32)</f>
        <v>496</v>
      </c>
      <c r="C30" s="215">
        <f>SUM(C31:C32)</f>
        <v>508</v>
      </c>
      <c r="D30" s="215">
        <f>SUM(D31:D32)</f>
        <v>508</v>
      </c>
      <c r="E30" s="215">
        <f>SUM(E31:E32)</f>
        <v>444</v>
      </c>
      <c r="F30" s="216">
        <f t="shared" si="0"/>
        <v>102.41935483870968</v>
      </c>
      <c r="G30" s="216">
        <f t="shared" si="1"/>
        <v>100</v>
      </c>
    </row>
    <row r="31" spans="1:7" ht="19.5" customHeight="1">
      <c r="A31" s="214" t="s">
        <v>177</v>
      </c>
      <c r="B31" s="215">
        <v>224</v>
      </c>
      <c r="C31" s="215">
        <v>194</v>
      </c>
      <c r="D31" s="215">
        <v>194</v>
      </c>
      <c r="E31" s="215">
        <v>278</v>
      </c>
      <c r="F31" s="216">
        <f t="shared" si="0"/>
        <v>86.60714285714286</v>
      </c>
      <c r="G31" s="216">
        <f t="shared" si="1"/>
        <v>100</v>
      </c>
    </row>
    <row r="32" spans="1:7" ht="19.5" customHeight="1">
      <c r="A32" s="214" t="s">
        <v>178</v>
      </c>
      <c r="B32" s="215">
        <v>272</v>
      </c>
      <c r="C32" s="215">
        <v>314</v>
      </c>
      <c r="D32" s="215">
        <v>314</v>
      </c>
      <c r="E32" s="215">
        <v>166</v>
      </c>
      <c r="F32" s="216">
        <f t="shared" si="0"/>
        <v>115.44117647058823</v>
      </c>
      <c r="G32" s="216">
        <f t="shared" si="1"/>
        <v>100</v>
      </c>
    </row>
    <row r="33" spans="1:7" ht="19.5" customHeight="1">
      <c r="A33" s="214" t="s">
        <v>179</v>
      </c>
      <c r="B33" s="215">
        <f>SUM(B34)</f>
        <v>1580</v>
      </c>
      <c r="C33" s="215">
        <f>SUM(C34)</f>
        <v>1875</v>
      </c>
      <c r="D33" s="215">
        <f>SUM(D34)</f>
        <v>1875</v>
      </c>
      <c r="E33" s="215">
        <f>SUM(E34)</f>
        <v>1816</v>
      </c>
      <c r="F33" s="216">
        <f t="shared" si="0"/>
        <v>118.67088607594938</v>
      </c>
      <c r="G33" s="216">
        <f t="shared" si="1"/>
        <v>100</v>
      </c>
    </row>
    <row r="34" spans="1:7" ht="19.5" customHeight="1">
      <c r="A34" s="214" t="s">
        <v>180</v>
      </c>
      <c r="B34" s="215">
        <v>1580</v>
      </c>
      <c r="C34" s="215">
        <v>1875</v>
      </c>
      <c r="D34" s="215">
        <v>1875</v>
      </c>
      <c r="E34" s="215">
        <v>1816</v>
      </c>
      <c r="F34" s="216">
        <f t="shared" si="0"/>
        <v>118.67088607594938</v>
      </c>
      <c r="G34" s="216">
        <f t="shared" si="1"/>
        <v>100</v>
      </c>
    </row>
    <row r="35" spans="1:7" ht="19.5" customHeight="1">
      <c r="A35" s="214" t="s">
        <v>181</v>
      </c>
      <c r="B35" s="215">
        <f>SUM(B36)</f>
        <v>917</v>
      </c>
      <c r="C35" s="215">
        <f>SUM(C36)</f>
        <v>1085</v>
      </c>
      <c r="D35" s="215">
        <f>SUM(D36)</f>
        <v>1085</v>
      </c>
      <c r="E35" s="215">
        <f>SUM(E36)</f>
        <v>1005</v>
      </c>
      <c r="F35" s="216">
        <f t="shared" si="0"/>
        <v>118.3206106870229</v>
      </c>
      <c r="G35" s="216">
        <f t="shared" si="1"/>
        <v>100</v>
      </c>
    </row>
    <row r="36" spans="1:7" ht="19.5" customHeight="1">
      <c r="A36" s="214" t="s">
        <v>182</v>
      </c>
      <c r="B36" s="215">
        <v>917</v>
      </c>
      <c r="C36" s="215">
        <v>1085</v>
      </c>
      <c r="D36" s="215">
        <v>1085</v>
      </c>
      <c r="E36" s="215">
        <v>1005</v>
      </c>
      <c r="F36" s="216">
        <f t="shared" si="0"/>
        <v>118.3206106870229</v>
      </c>
      <c r="G36" s="216">
        <f t="shared" si="1"/>
        <v>100</v>
      </c>
    </row>
    <row r="37" spans="1:7" ht="19.5" customHeight="1">
      <c r="A37" s="214" t="s">
        <v>183</v>
      </c>
      <c r="B37" s="215">
        <f>SUM(B38:B39)</f>
        <v>383</v>
      </c>
      <c r="C37" s="215">
        <f>SUM(C38:C39)</f>
        <v>539</v>
      </c>
      <c r="D37" s="215">
        <f>SUM(D38:D39)</f>
        <v>539</v>
      </c>
      <c r="E37" s="215">
        <f>SUM(E38:E39)</f>
        <v>446</v>
      </c>
      <c r="F37" s="216">
        <f t="shared" si="0"/>
        <v>140.73107049608356</v>
      </c>
      <c r="G37" s="216">
        <f t="shared" si="1"/>
        <v>100</v>
      </c>
    </row>
    <row r="38" spans="1:7" ht="19.5" customHeight="1">
      <c r="A38" s="214" t="s">
        <v>184</v>
      </c>
      <c r="B38" s="215">
        <v>382</v>
      </c>
      <c r="C38" s="215">
        <v>538</v>
      </c>
      <c r="D38" s="215">
        <v>538</v>
      </c>
      <c r="E38" s="215">
        <v>445</v>
      </c>
      <c r="F38" s="216">
        <f t="shared" si="0"/>
        <v>140.83769633507853</v>
      </c>
      <c r="G38" s="216">
        <f t="shared" si="1"/>
        <v>100</v>
      </c>
    </row>
    <row r="39" spans="1:7" ht="19.5" customHeight="1">
      <c r="A39" s="214" t="s">
        <v>185</v>
      </c>
      <c r="B39" s="215">
        <v>1</v>
      </c>
      <c r="C39" s="215">
        <v>1</v>
      </c>
      <c r="D39" s="215">
        <v>1</v>
      </c>
      <c r="E39" s="215">
        <v>1</v>
      </c>
      <c r="F39" s="216">
        <f t="shared" si="0"/>
        <v>100</v>
      </c>
      <c r="G39" s="216">
        <f t="shared" si="1"/>
        <v>100</v>
      </c>
    </row>
    <row r="40" spans="1:7" ht="19.5" customHeight="1">
      <c r="A40" s="214" t="s">
        <v>186</v>
      </c>
      <c r="B40" s="215">
        <f>SUM(B41)</f>
        <v>128</v>
      </c>
      <c r="C40" s="215">
        <f>SUM(C41)</f>
        <v>159</v>
      </c>
      <c r="D40" s="215">
        <f>SUM(D41)</f>
        <v>159</v>
      </c>
      <c r="E40" s="215">
        <f>SUM(E41)</f>
        <v>182</v>
      </c>
      <c r="F40" s="216">
        <f t="shared" si="0"/>
        <v>124.21875</v>
      </c>
      <c r="G40" s="216">
        <f t="shared" si="1"/>
        <v>100</v>
      </c>
    </row>
    <row r="41" spans="1:7" ht="19.5" customHeight="1">
      <c r="A41" s="214" t="s">
        <v>187</v>
      </c>
      <c r="B41" s="215">
        <v>128</v>
      </c>
      <c r="C41" s="215">
        <v>159</v>
      </c>
      <c r="D41" s="215">
        <v>159</v>
      </c>
      <c r="E41" s="215">
        <v>182</v>
      </c>
      <c r="F41" s="216">
        <f t="shared" si="0"/>
        <v>124.21875</v>
      </c>
      <c r="G41" s="216">
        <f t="shared" si="1"/>
        <v>100</v>
      </c>
    </row>
    <row r="42" spans="1:7" ht="19.5" customHeight="1">
      <c r="A42" s="214" t="s">
        <v>188</v>
      </c>
      <c r="B42" s="215">
        <f>SUM(B43:B44)</f>
        <v>879.1479999999999</v>
      </c>
      <c r="C42" s="215">
        <f>SUM(C43:C44)</f>
        <v>1038</v>
      </c>
      <c r="D42" s="215">
        <f>SUM(D43:D44)</f>
        <v>1038</v>
      </c>
      <c r="E42" s="215">
        <f>SUM(E43:E44)</f>
        <v>1058</v>
      </c>
      <c r="F42" s="216">
        <f t="shared" si="0"/>
        <v>118.06885757574379</v>
      </c>
      <c r="G42" s="216">
        <f t="shared" si="1"/>
        <v>100</v>
      </c>
    </row>
    <row r="43" spans="1:7" ht="19.5" customHeight="1">
      <c r="A43" s="214" t="s">
        <v>189</v>
      </c>
      <c r="B43" s="215">
        <f>656.04-8.892</f>
        <v>647.1479999999999</v>
      </c>
      <c r="C43" s="215">
        <v>745</v>
      </c>
      <c r="D43" s="215">
        <v>745</v>
      </c>
      <c r="E43" s="215">
        <v>805</v>
      </c>
      <c r="F43" s="216">
        <f t="shared" si="0"/>
        <v>115.12049793864773</v>
      </c>
      <c r="G43" s="216">
        <f t="shared" si="1"/>
        <v>100</v>
      </c>
    </row>
    <row r="44" spans="1:7" ht="19.5" customHeight="1">
      <c r="A44" s="214" t="s">
        <v>190</v>
      </c>
      <c r="B44" s="215">
        <v>232</v>
      </c>
      <c r="C44" s="215">
        <v>293</v>
      </c>
      <c r="D44" s="215">
        <v>293</v>
      </c>
      <c r="E44" s="215">
        <v>253</v>
      </c>
      <c r="F44" s="216">
        <f t="shared" si="0"/>
        <v>126.29310344827587</v>
      </c>
      <c r="G44" s="216">
        <f t="shared" si="1"/>
        <v>100</v>
      </c>
    </row>
    <row r="45" spans="1:7" ht="19.5" customHeight="1">
      <c r="A45" s="214" t="s">
        <v>191</v>
      </c>
      <c r="B45" s="215">
        <f>SUM(B46:B47)</f>
        <v>4202</v>
      </c>
      <c r="C45" s="215">
        <f>SUM(C46:C47)</f>
        <v>5024</v>
      </c>
      <c r="D45" s="215">
        <f>SUM(D46:D47)</f>
        <v>5024</v>
      </c>
      <c r="E45" s="215">
        <f>SUM(E46:E47)</f>
        <v>4687</v>
      </c>
      <c r="F45" s="216">
        <f t="shared" si="0"/>
        <v>119.56211327939077</v>
      </c>
      <c r="G45" s="216">
        <f t="shared" si="1"/>
        <v>100</v>
      </c>
    </row>
    <row r="46" spans="1:7" ht="19.5" customHeight="1">
      <c r="A46" s="214" t="s">
        <v>192</v>
      </c>
      <c r="B46" s="215">
        <v>3938</v>
      </c>
      <c r="C46" s="215">
        <v>4717</v>
      </c>
      <c r="D46" s="215">
        <v>4717</v>
      </c>
      <c r="E46" s="215">
        <v>4416</v>
      </c>
      <c r="F46" s="216">
        <f t="shared" si="0"/>
        <v>119.78161503301168</v>
      </c>
      <c r="G46" s="216">
        <f t="shared" si="1"/>
        <v>100</v>
      </c>
    </row>
    <row r="47" spans="1:7" ht="19.5" customHeight="1">
      <c r="A47" s="214" t="s">
        <v>193</v>
      </c>
      <c r="B47" s="215">
        <v>264</v>
      </c>
      <c r="C47" s="215">
        <v>307</v>
      </c>
      <c r="D47" s="215">
        <v>307</v>
      </c>
      <c r="E47" s="215">
        <v>271</v>
      </c>
      <c r="F47" s="216">
        <f t="shared" si="0"/>
        <v>116.28787878787878</v>
      </c>
      <c r="G47" s="216">
        <f t="shared" si="1"/>
        <v>100</v>
      </c>
    </row>
    <row r="48" spans="1:7" ht="19.5" customHeight="1">
      <c r="A48" s="214" t="s">
        <v>194</v>
      </c>
      <c r="B48" s="215">
        <v>0</v>
      </c>
      <c r="C48" s="215">
        <v>8</v>
      </c>
      <c r="D48" s="215">
        <v>8</v>
      </c>
      <c r="E48" s="215"/>
      <c r="F48" s="216">
        <f t="shared" si="0"/>
        <v>0</v>
      </c>
      <c r="G48" s="216"/>
    </row>
    <row r="49" spans="1:7" ht="19.5" customHeight="1">
      <c r="A49" s="248" t="s">
        <v>195</v>
      </c>
      <c r="B49" s="215">
        <v>0</v>
      </c>
      <c r="C49" s="215">
        <v>8</v>
      </c>
      <c r="D49" s="215">
        <v>8</v>
      </c>
      <c r="E49" s="215"/>
      <c r="F49" s="216">
        <f t="shared" si="0"/>
        <v>0</v>
      </c>
      <c r="G49" s="216"/>
    </row>
    <row r="50" spans="1:7" ht="19.5" customHeight="1">
      <c r="A50" s="214" t="s">
        <v>196</v>
      </c>
      <c r="B50" s="215">
        <v>0</v>
      </c>
      <c r="C50" s="215">
        <f>C51+C52</f>
        <v>5716.35</v>
      </c>
      <c r="D50" s="215">
        <f>D51+D52</f>
        <v>4082</v>
      </c>
      <c r="E50" s="215"/>
      <c r="F50" s="216">
        <f t="shared" si="0"/>
        <v>0</v>
      </c>
      <c r="G50" s="216"/>
    </row>
    <row r="51" spans="1:7" ht="19.5" customHeight="1">
      <c r="A51" s="248" t="s">
        <v>197</v>
      </c>
      <c r="B51" s="215">
        <v>0</v>
      </c>
      <c r="C51" s="215">
        <v>4917</v>
      </c>
      <c r="D51" s="215">
        <v>3525</v>
      </c>
      <c r="E51" s="215"/>
      <c r="F51" s="216">
        <f t="shared" si="0"/>
        <v>0</v>
      </c>
      <c r="G51" s="216"/>
    </row>
    <row r="52" spans="1:7" ht="19.5" customHeight="1">
      <c r="A52" s="248" t="s">
        <v>198</v>
      </c>
      <c r="B52" s="215">
        <v>0</v>
      </c>
      <c r="C52" s="215">
        <v>799.35</v>
      </c>
      <c r="D52" s="215">
        <v>557</v>
      </c>
      <c r="E52" s="215"/>
      <c r="F52" s="216">
        <f t="shared" si="0"/>
        <v>0</v>
      </c>
      <c r="G52" s="216"/>
    </row>
    <row r="53" spans="1:7" ht="19.5" customHeight="1">
      <c r="A53" s="214" t="s">
        <v>125</v>
      </c>
      <c r="B53" s="215">
        <f>SUM(B54,B57,B59,B61)</f>
        <v>45186</v>
      </c>
      <c r="C53" s="215">
        <f>SUM(C54,C57,C59,C61)</f>
        <v>52750</v>
      </c>
      <c r="D53" s="215">
        <f>SUM(D54,D57,D59,D61)-1</f>
        <v>52658</v>
      </c>
      <c r="E53" s="215">
        <f>SUM(E54,E57,E59,E61)</f>
        <v>43334</v>
      </c>
      <c r="F53" s="216">
        <f t="shared" si="0"/>
        <v>116.53609525074138</v>
      </c>
      <c r="G53" s="216">
        <f t="shared" si="1"/>
        <v>99.82559241706161</v>
      </c>
    </row>
    <row r="54" spans="1:7" ht="19.5" customHeight="1">
      <c r="A54" s="214" t="s">
        <v>199</v>
      </c>
      <c r="B54" s="215">
        <f>SUM(B55:B56)</f>
        <v>42679</v>
      </c>
      <c r="C54" s="215">
        <f>SUM(C55:C56)</f>
        <v>49712</v>
      </c>
      <c r="D54" s="215">
        <f>SUM(D55:D56)</f>
        <v>49635</v>
      </c>
      <c r="E54" s="215">
        <f>SUM(E55:E56)</f>
        <v>40448</v>
      </c>
      <c r="F54" s="216">
        <f t="shared" si="0"/>
        <v>116.29841373977834</v>
      </c>
      <c r="G54" s="216">
        <f t="shared" si="1"/>
        <v>99.84510782104924</v>
      </c>
    </row>
    <row r="55" spans="1:7" ht="19.5" customHeight="1">
      <c r="A55" s="214" t="s">
        <v>200</v>
      </c>
      <c r="B55" s="215">
        <v>42679</v>
      </c>
      <c r="C55" s="215">
        <v>49712</v>
      </c>
      <c r="D55" s="215">
        <v>49635</v>
      </c>
      <c r="E55" s="215">
        <v>36702</v>
      </c>
      <c r="F55" s="216">
        <f t="shared" si="0"/>
        <v>116.29841373977834</v>
      </c>
      <c r="G55" s="216">
        <f t="shared" si="1"/>
        <v>99.84510782104924</v>
      </c>
    </row>
    <row r="56" spans="1:7" ht="19.5" customHeight="1">
      <c r="A56" s="214" t="s">
        <v>201</v>
      </c>
      <c r="B56" s="215"/>
      <c r="C56" s="215"/>
      <c r="D56" s="215"/>
      <c r="E56" s="215">
        <v>3746</v>
      </c>
      <c r="F56" s="216">
        <f t="shared" si="0"/>
        <v>0</v>
      </c>
      <c r="G56" s="216">
        <f t="shared" si="1"/>
        <v>0</v>
      </c>
    </row>
    <row r="57" spans="1:7" ht="19.5" customHeight="1">
      <c r="A57" s="214" t="s">
        <v>202</v>
      </c>
      <c r="B57" s="215">
        <f>SUM(B58)</f>
        <v>0</v>
      </c>
      <c r="C57" s="215">
        <f>SUM(C58)</f>
        <v>0</v>
      </c>
      <c r="D57" s="215">
        <f>SUM(D58)</f>
        <v>0</v>
      </c>
      <c r="E57" s="215">
        <f>SUM(E58)</f>
        <v>0</v>
      </c>
      <c r="F57" s="216">
        <f t="shared" si="0"/>
        <v>0</v>
      </c>
      <c r="G57" s="216">
        <f t="shared" si="1"/>
        <v>0</v>
      </c>
    </row>
    <row r="58" spans="1:7" ht="19.5" customHeight="1">
      <c r="A58" s="214" t="s">
        <v>203</v>
      </c>
      <c r="B58" s="215"/>
      <c r="C58" s="215"/>
      <c r="D58" s="215"/>
      <c r="E58" s="215"/>
      <c r="F58" s="216">
        <f t="shared" si="0"/>
        <v>0</v>
      </c>
      <c r="G58" s="216">
        <f t="shared" si="1"/>
        <v>0</v>
      </c>
    </row>
    <row r="59" spans="1:7" ht="19.5" customHeight="1">
      <c r="A59" s="214" t="s">
        <v>204</v>
      </c>
      <c r="B59" s="215">
        <f>SUM(B60)</f>
        <v>0</v>
      </c>
      <c r="C59" s="215">
        <f>SUM(C60)</f>
        <v>0</v>
      </c>
      <c r="D59" s="215">
        <f>SUM(D60)</f>
        <v>0</v>
      </c>
      <c r="E59" s="215">
        <f>SUM(E60)</f>
        <v>0</v>
      </c>
      <c r="F59" s="216">
        <f t="shared" si="0"/>
        <v>0</v>
      </c>
      <c r="G59" s="216">
        <f t="shared" si="1"/>
        <v>0</v>
      </c>
    </row>
    <row r="60" spans="1:7" ht="19.5" customHeight="1">
      <c r="A60" s="214" t="s">
        <v>205</v>
      </c>
      <c r="B60" s="215"/>
      <c r="C60" s="215"/>
      <c r="D60" s="215"/>
      <c r="E60" s="215"/>
      <c r="F60" s="216">
        <f t="shared" si="0"/>
        <v>0</v>
      </c>
      <c r="G60" s="216">
        <f t="shared" si="1"/>
        <v>0</v>
      </c>
    </row>
    <row r="61" spans="1:7" ht="19.5" customHeight="1">
      <c r="A61" s="214" t="s">
        <v>206</v>
      </c>
      <c r="B61" s="215">
        <f>SUM(B62:B63)</f>
        <v>2507</v>
      </c>
      <c r="C61" s="215">
        <f>SUM(C62:C63)</f>
        <v>3038</v>
      </c>
      <c r="D61" s="215">
        <f>SUM(D62:D63)</f>
        <v>3024</v>
      </c>
      <c r="E61" s="215">
        <f>SUM(E62:E63)</f>
        <v>2886</v>
      </c>
      <c r="F61" s="216">
        <f t="shared" si="0"/>
        <v>120.62225767850019</v>
      </c>
      <c r="G61" s="216">
        <f t="shared" si="1"/>
        <v>99.53917050691244</v>
      </c>
    </row>
    <row r="62" spans="1:7" ht="19.5" customHeight="1">
      <c r="A62" s="214" t="s">
        <v>207</v>
      </c>
      <c r="B62" s="215">
        <v>2325</v>
      </c>
      <c r="C62" s="215">
        <v>2842</v>
      </c>
      <c r="D62" s="215">
        <v>2828</v>
      </c>
      <c r="E62" s="215">
        <v>2685</v>
      </c>
      <c r="F62" s="216">
        <f t="shared" si="0"/>
        <v>121.63440860215053</v>
      </c>
      <c r="G62" s="216">
        <f t="shared" si="1"/>
        <v>99.50738916256158</v>
      </c>
    </row>
    <row r="63" spans="1:7" ht="19.5" customHeight="1">
      <c r="A63" s="214" t="s">
        <v>208</v>
      </c>
      <c r="B63" s="215">
        <v>182</v>
      </c>
      <c r="C63" s="215">
        <v>196</v>
      </c>
      <c r="D63" s="215">
        <v>196</v>
      </c>
      <c r="E63" s="215">
        <v>201</v>
      </c>
      <c r="F63" s="216">
        <f t="shared" si="0"/>
        <v>107.6923076923077</v>
      </c>
      <c r="G63" s="216">
        <f t="shared" si="1"/>
        <v>100</v>
      </c>
    </row>
    <row r="64" spans="1:7" ht="18.75" customHeight="1">
      <c r="A64" s="214" t="s">
        <v>126</v>
      </c>
      <c r="B64" s="215">
        <f>SUM(B65,B67,B73,B75,B78,B80)</f>
        <v>105227.47</v>
      </c>
      <c r="C64" s="215">
        <f>SUM(C65,C67,C73,C75,C78,C80)</f>
        <v>122545</v>
      </c>
      <c r="D64" s="215">
        <f>SUM(D65,D67,D73,D75,D78,D80)-1</f>
        <v>122494</v>
      </c>
      <c r="E64" s="215">
        <f>SUM(E65,E67,E73,E75,E78,E80)</f>
        <v>110436</v>
      </c>
      <c r="F64" s="216">
        <f t="shared" si="0"/>
        <v>116.40876664619991</v>
      </c>
      <c r="G64" s="216">
        <f t="shared" si="1"/>
        <v>99.95838263495042</v>
      </c>
    </row>
    <row r="65" spans="1:7" ht="19.5" customHeight="1">
      <c r="A65" s="214" t="s">
        <v>209</v>
      </c>
      <c r="B65" s="215">
        <f>SUM(B66)</f>
        <v>755</v>
      </c>
      <c r="C65" s="215">
        <f>SUM(C66)</f>
        <v>845</v>
      </c>
      <c r="D65" s="215">
        <f>SUM(D66)</f>
        <v>845</v>
      </c>
      <c r="E65" s="215">
        <f>SUM(E66)</f>
        <v>903</v>
      </c>
      <c r="F65" s="216">
        <f t="shared" si="0"/>
        <v>111.92052980132449</v>
      </c>
      <c r="G65" s="216">
        <f t="shared" si="1"/>
        <v>100</v>
      </c>
    </row>
    <row r="66" spans="1:7" ht="19.5" customHeight="1">
      <c r="A66" s="214" t="s">
        <v>210</v>
      </c>
      <c r="B66" s="215">
        <v>755</v>
      </c>
      <c r="C66" s="215">
        <v>845</v>
      </c>
      <c r="D66" s="215">
        <v>845</v>
      </c>
      <c r="E66" s="215">
        <v>903</v>
      </c>
      <c r="F66" s="216">
        <f t="shared" si="0"/>
        <v>111.92052980132449</v>
      </c>
      <c r="G66" s="216">
        <f t="shared" si="1"/>
        <v>100</v>
      </c>
    </row>
    <row r="67" spans="1:7" ht="19.5" customHeight="1">
      <c r="A67" s="214" t="s">
        <v>211</v>
      </c>
      <c r="B67" s="215">
        <f>SUM(B68:B72)</f>
        <v>94390.47</v>
      </c>
      <c r="C67" s="215">
        <f>SUM(C68:C72)</f>
        <v>110384</v>
      </c>
      <c r="D67" s="215">
        <f>SUM(D68:D72)</f>
        <v>110334</v>
      </c>
      <c r="E67" s="215">
        <f>SUM(E68:E72)</f>
        <v>99008</v>
      </c>
      <c r="F67" s="216">
        <f t="shared" si="0"/>
        <v>116.8910378346458</v>
      </c>
      <c r="G67" s="216">
        <f t="shared" si="1"/>
        <v>99.95470358022902</v>
      </c>
    </row>
    <row r="68" spans="1:7" ht="19.5" customHeight="1">
      <c r="A68" s="214" t="s">
        <v>212</v>
      </c>
      <c r="B68" s="215">
        <f>5125.36+4.11</f>
        <v>5129.469999999999</v>
      </c>
      <c r="C68" s="215">
        <v>5872</v>
      </c>
      <c r="D68" s="215">
        <v>5872</v>
      </c>
      <c r="E68" s="215">
        <v>5358</v>
      </c>
      <c r="F68" s="216">
        <f t="shared" si="0"/>
        <v>114.4757645526731</v>
      </c>
      <c r="G68" s="216">
        <f t="shared" si="1"/>
        <v>100</v>
      </c>
    </row>
    <row r="69" spans="1:7" ht="19.5" customHeight="1">
      <c r="A69" s="214" t="s">
        <v>213</v>
      </c>
      <c r="B69" s="215">
        <v>45061</v>
      </c>
      <c r="C69" s="215">
        <v>53960</v>
      </c>
      <c r="D69" s="215">
        <v>53960</v>
      </c>
      <c r="E69" s="215">
        <v>47626</v>
      </c>
      <c r="F69" s="216">
        <f t="shared" si="0"/>
        <v>119.74878498035994</v>
      </c>
      <c r="G69" s="216">
        <f t="shared" si="1"/>
        <v>100</v>
      </c>
    </row>
    <row r="70" spans="1:7" ht="19.5" customHeight="1">
      <c r="A70" s="214" t="s">
        <v>214</v>
      </c>
      <c r="B70" s="215">
        <v>27083</v>
      </c>
      <c r="C70" s="215">
        <f>31293-11</f>
        <v>31282</v>
      </c>
      <c r="D70" s="215">
        <f>31271-11</f>
        <v>31260</v>
      </c>
      <c r="E70" s="215">
        <v>28251</v>
      </c>
      <c r="F70" s="216">
        <f t="shared" si="0"/>
        <v>115.4229590518037</v>
      </c>
      <c r="G70" s="216">
        <f t="shared" si="1"/>
        <v>99.92967201585576</v>
      </c>
    </row>
    <row r="71" spans="1:7" ht="19.5" customHeight="1">
      <c r="A71" s="214" t="s">
        <v>215</v>
      </c>
      <c r="B71" s="215">
        <v>12779</v>
      </c>
      <c r="C71" s="215">
        <f>14573+11</f>
        <v>14584</v>
      </c>
      <c r="D71" s="215">
        <f>14548+11</f>
        <v>14559</v>
      </c>
      <c r="E71" s="215">
        <v>13254</v>
      </c>
      <c r="F71" s="216">
        <f t="shared" si="0"/>
        <v>113.92910243368026</v>
      </c>
      <c r="G71" s="216">
        <f t="shared" si="1"/>
        <v>99.82857926494789</v>
      </c>
    </row>
    <row r="72" spans="1:7" ht="19.5" customHeight="1">
      <c r="A72" s="214" t="s">
        <v>216</v>
      </c>
      <c r="B72" s="215">
        <v>4338</v>
      </c>
      <c r="C72" s="215">
        <v>4686</v>
      </c>
      <c r="D72" s="215">
        <v>4683</v>
      </c>
      <c r="E72" s="215">
        <v>4519</v>
      </c>
      <c r="F72" s="216">
        <f t="shared" si="0"/>
        <v>107.95297372060857</v>
      </c>
      <c r="G72" s="216">
        <f t="shared" si="1"/>
        <v>99.93597951344431</v>
      </c>
    </row>
    <row r="73" spans="1:7" ht="19.5" customHeight="1">
      <c r="A73" s="214" t="s">
        <v>217</v>
      </c>
      <c r="B73" s="215">
        <f>SUM(B74)</f>
        <v>5340</v>
      </c>
      <c r="C73" s="215">
        <f>SUM(C74)</f>
        <v>6052</v>
      </c>
      <c r="D73" s="215">
        <f>SUM(D74)</f>
        <v>6052</v>
      </c>
      <c r="E73" s="215">
        <f>SUM(E74)</f>
        <v>5581</v>
      </c>
      <c r="F73" s="216">
        <f t="shared" si="0"/>
        <v>113.33333333333333</v>
      </c>
      <c r="G73" s="216">
        <f t="shared" si="1"/>
        <v>100</v>
      </c>
    </row>
    <row r="74" spans="1:7" ht="19.5" customHeight="1">
      <c r="A74" s="214" t="s">
        <v>218</v>
      </c>
      <c r="B74" s="215">
        <v>5340</v>
      </c>
      <c r="C74" s="215">
        <v>6052</v>
      </c>
      <c r="D74" s="215">
        <v>6052</v>
      </c>
      <c r="E74" s="215">
        <v>5581</v>
      </c>
      <c r="F74" s="216">
        <f t="shared" si="0"/>
        <v>113.33333333333333</v>
      </c>
      <c r="G74" s="216">
        <f t="shared" si="1"/>
        <v>100</v>
      </c>
    </row>
    <row r="75" spans="1:7" ht="19.5" customHeight="1">
      <c r="A75" s="214" t="s">
        <v>219</v>
      </c>
      <c r="B75" s="215">
        <f>SUM(B76:B77)</f>
        <v>2321</v>
      </c>
      <c r="C75" s="215">
        <f>SUM(C76:C77)</f>
        <v>2555</v>
      </c>
      <c r="D75" s="215">
        <f>SUM(D76:D77)</f>
        <v>2555</v>
      </c>
      <c r="E75" s="215">
        <f>SUM(E76:E77)</f>
        <v>2469</v>
      </c>
      <c r="F75" s="216">
        <f t="shared" si="0"/>
        <v>110.0818612666954</v>
      </c>
      <c r="G75" s="216">
        <f t="shared" si="1"/>
        <v>100</v>
      </c>
    </row>
    <row r="76" spans="1:7" ht="19.5" customHeight="1">
      <c r="A76" s="214" t="s">
        <v>220</v>
      </c>
      <c r="B76" s="215">
        <v>580</v>
      </c>
      <c r="C76" s="215">
        <v>616</v>
      </c>
      <c r="D76" s="215">
        <v>616</v>
      </c>
      <c r="E76" s="215">
        <v>608</v>
      </c>
      <c r="F76" s="216">
        <f t="shared" si="0"/>
        <v>106.20689655172413</v>
      </c>
      <c r="G76" s="216">
        <f t="shared" si="1"/>
        <v>100</v>
      </c>
    </row>
    <row r="77" spans="1:7" ht="19.5" customHeight="1">
      <c r="A77" s="214" t="s">
        <v>221</v>
      </c>
      <c r="B77" s="215">
        <v>1741</v>
      </c>
      <c r="C77" s="215">
        <v>1939</v>
      </c>
      <c r="D77" s="215">
        <v>1939</v>
      </c>
      <c r="E77" s="215">
        <v>1861</v>
      </c>
      <c r="F77" s="216">
        <f aca="true" t="shared" si="2" ref="F77:F147">IF(B77=0,0,D77/B77*100)</f>
        <v>111.37277426766225</v>
      </c>
      <c r="G77" s="216">
        <f aca="true" t="shared" si="3" ref="G77:G147">IF(D77=0,0,D77/C77*100)</f>
        <v>100</v>
      </c>
    </row>
    <row r="78" spans="1:7" ht="19.5" customHeight="1">
      <c r="A78" s="214" t="s">
        <v>222</v>
      </c>
      <c r="B78" s="215">
        <f>SUM(B79)</f>
        <v>983</v>
      </c>
      <c r="C78" s="215">
        <f>SUM(C79)</f>
        <v>1127</v>
      </c>
      <c r="D78" s="215">
        <f>SUM(D79)</f>
        <v>1127</v>
      </c>
      <c r="E78" s="215">
        <f>SUM(E79)</f>
        <v>928</v>
      </c>
      <c r="F78" s="216">
        <f t="shared" si="2"/>
        <v>114.64903357070193</v>
      </c>
      <c r="G78" s="216">
        <f t="shared" si="3"/>
        <v>100</v>
      </c>
    </row>
    <row r="79" spans="1:7" ht="19.5" customHeight="1">
      <c r="A79" s="214" t="s">
        <v>223</v>
      </c>
      <c r="B79" s="215">
        <v>983</v>
      </c>
      <c r="C79" s="215">
        <v>1127</v>
      </c>
      <c r="D79" s="215">
        <v>1127</v>
      </c>
      <c r="E79" s="215">
        <v>928</v>
      </c>
      <c r="F79" s="216">
        <f t="shared" si="2"/>
        <v>114.64903357070193</v>
      </c>
      <c r="G79" s="216">
        <f t="shared" si="3"/>
        <v>100</v>
      </c>
    </row>
    <row r="80" spans="1:7" ht="19.5" customHeight="1">
      <c r="A80" s="214" t="s">
        <v>224</v>
      </c>
      <c r="B80" s="215">
        <f>SUM(B81:B83)</f>
        <v>1438</v>
      </c>
      <c r="C80" s="215">
        <f>SUM(C81:C83)</f>
        <v>1582</v>
      </c>
      <c r="D80" s="215">
        <f>SUM(D81:D83)</f>
        <v>1582</v>
      </c>
      <c r="E80" s="215">
        <f>SUM(E81:E83)</f>
        <v>1547</v>
      </c>
      <c r="F80" s="216">
        <f t="shared" si="2"/>
        <v>110.01390820584145</v>
      </c>
      <c r="G80" s="216">
        <f t="shared" si="3"/>
        <v>100</v>
      </c>
    </row>
    <row r="81" spans="1:7" ht="19.5" customHeight="1">
      <c r="A81" s="214" t="s">
        <v>225</v>
      </c>
      <c r="B81" s="215">
        <v>601</v>
      </c>
      <c r="C81" s="215">
        <v>625</v>
      </c>
      <c r="D81" s="215">
        <v>625</v>
      </c>
      <c r="E81" s="215">
        <v>640</v>
      </c>
      <c r="F81" s="216">
        <f t="shared" si="2"/>
        <v>103.99334442595674</v>
      </c>
      <c r="G81" s="216">
        <f t="shared" si="3"/>
        <v>100</v>
      </c>
    </row>
    <row r="82" spans="1:7" ht="19.5" customHeight="1">
      <c r="A82" s="214" t="s">
        <v>226</v>
      </c>
      <c r="B82" s="215">
        <v>641</v>
      </c>
      <c r="C82" s="215">
        <v>739</v>
      </c>
      <c r="D82" s="215">
        <v>739</v>
      </c>
      <c r="E82" s="215">
        <v>696</v>
      </c>
      <c r="F82" s="216">
        <f t="shared" si="2"/>
        <v>115.28861154446177</v>
      </c>
      <c r="G82" s="216">
        <f t="shared" si="3"/>
        <v>100</v>
      </c>
    </row>
    <row r="83" spans="1:7" ht="19.5" customHeight="1">
      <c r="A83" s="214" t="s">
        <v>227</v>
      </c>
      <c r="B83" s="215">
        <v>196</v>
      </c>
      <c r="C83" s="215">
        <v>218</v>
      </c>
      <c r="D83" s="215">
        <v>218</v>
      </c>
      <c r="E83" s="215">
        <v>211</v>
      </c>
      <c r="F83" s="216">
        <f t="shared" si="2"/>
        <v>111.22448979591837</v>
      </c>
      <c r="G83" s="216">
        <f t="shared" si="3"/>
        <v>100</v>
      </c>
    </row>
    <row r="84" spans="1:7" ht="19.5" customHeight="1">
      <c r="A84" s="214" t="s">
        <v>127</v>
      </c>
      <c r="B84" s="215">
        <f>SUM(B85,B87)</f>
        <v>620</v>
      </c>
      <c r="C84" s="215">
        <f>SUM(C85,C87)</f>
        <v>782</v>
      </c>
      <c r="D84" s="215">
        <f>SUM(D85,D87)</f>
        <v>782</v>
      </c>
      <c r="E84" s="215">
        <f>SUM(E85,E87)</f>
        <v>622</v>
      </c>
      <c r="F84" s="216">
        <f t="shared" si="2"/>
        <v>126.12903225806451</v>
      </c>
      <c r="G84" s="216">
        <f t="shared" si="3"/>
        <v>100</v>
      </c>
    </row>
    <row r="85" spans="1:7" ht="19.5" customHeight="1">
      <c r="A85" s="214" t="s">
        <v>228</v>
      </c>
      <c r="B85" s="215">
        <f>SUM(B86)</f>
        <v>260</v>
      </c>
      <c r="C85" s="215">
        <f>SUM(C86)</f>
        <v>322</v>
      </c>
      <c r="D85" s="215">
        <f>SUM(D86)</f>
        <v>322</v>
      </c>
      <c r="E85" s="215">
        <f>SUM(E86)</f>
        <v>239</v>
      </c>
      <c r="F85" s="216">
        <f t="shared" si="2"/>
        <v>123.84615384615385</v>
      </c>
      <c r="G85" s="216">
        <f t="shared" si="3"/>
        <v>100</v>
      </c>
    </row>
    <row r="86" spans="1:7" ht="19.5" customHeight="1">
      <c r="A86" s="214" t="s">
        <v>229</v>
      </c>
      <c r="B86" s="215">
        <v>260</v>
      </c>
      <c r="C86" s="215">
        <v>322</v>
      </c>
      <c r="D86" s="215">
        <v>322</v>
      </c>
      <c r="E86" s="215">
        <v>239</v>
      </c>
      <c r="F86" s="216">
        <f t="shared" si="2"/>
        <v>123.84615384615385</v>
      </c>
      <c r="G86" s="216">
        <f t="shared" si="3"/>
        <v>100</v>
      </c>
    </row>
    <row r="87" spans="1:7" ht="19.5" customHeight="1">
      <c r="A87" s="214" t="s">
        <v>230</v>
      </c>
      <c r="B87" s="215">
        <f>SUM(B88:B89)</f>
        <v>360</v>
      </c>
      <c r="C87" s="215">
        <f>SUM(C88:C89)</f>
        <v>460</v>
      </c>
      <c r="D87" s="215">
        <f>SUM(D88:D89)</f>
        <v>460</v>
      </c>
      <c r="E87" s="215">
        <f>SUM(E88:E89)</f>
        <v>383</v>
      </c>
      <c r="F87" s="216">
        <f t="shared" si="2"/>
        <v>127.77777777777777</v>
      </c>
      <c r="G87" s="216">
        <f t="shared" si="3"/>
        <v>100</v>
      </c>
    </row>
    <row r="88" spans="1:7" ht="19.5" customHeight="1">
      <c r="A88" s="214" t="s">
        <v>231</v>
      </c>
      <c r="B88" s="215">
        <v>182</v>
      </c>
      <c r="C88" s="215">
        <v>226</v>
      </c>
      <c r="D88" s="215">
        <v>226</v>
      </c>
      <c r="E88" s="215">
        <v>199</v>
      </c>
      <c r="F88" s="216">
        <f t="shared" si="2"/>
        <v>124.17582417582418</v>
      </c>
      <c r="G88" s="216">
        <f t="shared" si="3"/>
        <v>100</v>
      </c>
    </row>
    <row r="89" spans="1:7" ht="19.5" customHeight="1">
      <c r="A89" s="214" t="s">
        <v>232</v>
      </c>
      <c r="B89" s="215">
        <v>178</v>
      </c>
      <c r="C89" s="215">
        <v>234</v>
      </c>
      <c r="D89" s="215">
        <v>234</v>
      </c>
      <c r="E89" s="215">
        <v>184</v>
      </c>
      <c r="F89" s="216">
        <f t="shared" si="2"/>
        <v>131.46067415730337</v>
      </c>
      <c r="G89" s="216">
        <f t="shared" si="3"/>
        <v>100</v>
      </c>
    </row>
    <row r="90" spans="1:7" ht="19.5" customHeight="1">
      <c r="A90" s="214" t="s">
        <v>233</v>
      </c>
      <c r="B90" s="215">
        <f>SUM(B91,B96,B99)</f>
        <v>3075</v>
      </c>
      <c r="C90" s="215">
        <f>SUM(C91,C96,C99)</f>
        <v>3984</v>
      </c>
      <c r="D90" s="215">
        <f>SUM(D91,D96,D99)</f>
        <v>3984</v>
      </c>
      <c r="E90" s="215">
        <f>SUM(E91,E96,E99)</f>
        <v>3385</v>
      </c>
      <c r="F90" s="216">
        <f t="shared" si="2"/>
        <v>129.5609756097561</v>
      </c>
      <c r="G90" s="216">
        <f t="shared" si="3"/>
        <v>100</v>
      </c>
    </row>
    <row r="91" spans="1:7" ht="19.5" customHeight="1">
      <c r="A91" s="214" t="s">
        <v>234</v>
      </c>
      <c r="B91" s="215">
        <f>SUM(B92:B95)</f>
        <v>1673</v>
      </c>
      <c r="C91" s="215">
        <f>SUM(C92:C95)</f>
        <v>2400</v>
      </c>
      <c r="D91" s="215">
        <f>SUM(D92:D95)</f>
        <v>2400</v>
      </c>
      <c r="E91" s="215">
        <f>SUM(E92:E95)</f>
        <v>1861</v>
      </c>
      <c r="F91" s="216">
        <f t="shared" si="2"/>
        <v>143.45487148834428</v>
      </c>
      <c r="G91" s="216">
        <f t="shared" si="3"/>
        <v>100</v>
      </c>
    </row>
    <row r="92" spans="1:7" ht="19.5" customHeight="1">
      <c r="A92" s="214" t="s">
        <v>235</v>
      </c>
      <c r="B92" s="215">
        <v>569</v>
      </c>
      <c r="C92" s="215">
        <v>1139</v>
      </c>
      <c r="D92" s="215">
        <v>1139</v>
      </c>
      <c r="E92" s="215">
        <v>586</v>
      </c>
      <c r="F92" s="216">
        <f t="shared" si="2"/>
        <v>200.17574692442884</v>
      </c>
      <c r="G92" s="216">
        <f t="shared" si="3"/>
        <v>100</v>
      </c>
    </row>
    <row r="93" spans="1:7" ht="19.5" customHeight="1">
      <c r="A93" s="214" t="s">
        <v>236</v>
      </c>
      <c r="B93" s="215">
        <v>563</v>
      </c>
      <c r="C93" s="215">
        <v>656</v>
      </c>
      <c r="D93" s="215">
        <v>656</v>
      </c>
      <c r="E93" s="215">
        <v>657</v>
      </c>
      <c r="F93" s="216">
        <f t="shared" si="2"/>
        <v>116.51865008880995</v>
      </c>
      <c r="G93" s="216">
        <f t="shared" si="3"/>
        <v>100</v>
      </c>
    </row>
    <row r="94" spans="1:7" ht="19.5" customHeight="1">
      <c r="A94" s="214" t="s">
        <v>237</v>
      </c>
      <c r="B94" s="215">
        <v>438</v>
      </c>
      <c r="C94" s="215">
        <v>484</v>
      </c>
      <c r="D94" s="215">
        <v>484</v>
      </c>
      <c r="E94" s="215">
        <v>498</v>
      </c>
      <c r="F94" s="216">
        <f t="shared" si="2"/>
        <v>110.50228310502284</v>
      </c>
      <c r="G94" s="216">
        <f t="shared" si="3"/>
        <v>100</v>
      </c>
    </row>
    <row r="95" spans="1:7" ht="19.5" customHeight="1">
      <c r="A95" s="214" t="s">
        <v>238</v>
      </c>
      <c r="B95" s="215">
        <v>103</v>
      </c>
      <c r="C95" s="215">
        <v>121</v>
      </c>
      <c r="D95" s="215">
        <v>121</v>
      </c>
      <c r="E95" s="215">
        <v>120</v>
      </c>
      <c r="F95" s="216">
        <f t="shared" si="2"/>
        <v>117.4757281553398</v>
      </c>
      <c r="G95" s="216">
        <f t="shared" si="3"/>
        <v>100</v>
      </c>
    </row>
    <row r="96" spans="1:7" ht="19.5" customHeight="1">
      <c r="A96" s="214" t="s">
        <v>239</v>
      </c>
      <c r="B96" s="215">
        <f>SUM(B97:B98)</f>
        <v>569</v>
      </c>
      <c r="C96" s="215">
        <f>SUM(C97:C98)</f>
        <v>640</v>
      </c>
      <c r="D96" s="215">
        <f>SUM(D97:D98)</f>
        <v>640</v>
      </c>
      <c r="E96" s="215">
        <f>SUM(E97:E98)</f>
        <v>643</v>
      </c>
      <c r="F96" s="216">
        <f t="shared" si="2"/>
        <v>112.47803163444641</v>
      </c>
      <c r="G96" s="216">
        <f t="shared" si="3"/>
        <v>100</v>
      </c>
    </row>
    <row r="97" spans="1:7" ht="19.5" customHeight="1">
      <c r="A97" s="214" t="s">
        <v>240</v>
      </c>
      <c r="B97" s="215">
        <v>126</v>
      </c>
      <c r="C97" s="215">
        <v>129</v>
      </c>
      <c r="D97" s="215">
        <v>129</v>
      </c>
      <c r="E97" s="215">
        <v>159</v>
      </c>
      <c r="F97" s="216">
        <f t="shared" si="2"/>
        <v>102.38095238095238</v>
      </c>
      <c r="G97" s="216">
        <f t="shared" si="3"/>
        <v>100</v>
      </c>
    </row>
    <row r="98" spans="1:7" ht="19.5" customHeight="1">
      <c r="A98" s="214" t="s">
        <v>241</v>
      </c>
      <c r="B98" s="215">
        <v>443</v>
      </c>
      <c r="C98" s="215">
        <v>511</v>
      </c>
      <c r="D98" s="215">
        <v>511</v>
      </c>
      <c r="E98" s="215">
        <v>484</v>
      </c>
      <c r="F98" s="216">
        <f t="shared" si="2"/>
        <v>115.34988713318283</v>
      </c>
      <c r="G98" s="216">
        <f t="shared" si="3"/>
        <v>100</v>
      </c>
    </row>
    <row r="99" spans="1:7" ht="19.5" customHeight="1">
      <c r="A99" s="214" t="s">
        <v>242</v>
      </c>
      <c r="B99" s="215">
        <f>SUM(B100)</f>
        <v>833</v>
      </c>
      <c r="C99" s="215">
        <f>SUM(C100)</f>
        <v>944</v>
      </c>
      <c r="D99" s="215">
        <f>SUM(D100)</f>
        <v>944</v>
      </c>
      <c r="E99" s="215">
        <f>SUM(E100)</f>
        <v>881</v>
      </c>
      <c r="F99" s="216">
        <f t="shared" si="2"/>
        <v>113.32533013205281</v>
      </c>
      <c r="G99" s="216">
        <f t="shared" si="3"/>
        <v>100</v>
      </c>
    </row>
    <row r="100" spans="1:7" ht="19.5" customHeight="1">
      <c r="A100" s="214" t="s">
        <v>243</v>
      </c>
      <c r="B100" s="215">
        <v>833</v>
      </c>
      <c r="C100" s="215">
        <v>944</v>
      </c>
      <c r="D100" s="215">
        <v>944</v>
      </c>
      <c r="E100" s="215">
        <v>881</v>
      </c>
      <c r="F100" s="216">
        <f t="shared" si="2"/>
        <v>113.32533013205281</v>
      </c>
      <c r="G100" s="216">
        <f t="shared" si="3"/>
        <v>100</v>
      </c>
    </row>
    <row r="101" spans="1:7" ht="19.5" customHeight="1">
      <c r="A101" s="214" t="s">
        <v>129</v>
      </c>
      <c r="B101" s="215">
        <f>SUM(B102,B107,B113,B115,B117,B120,B123)</f>
        <v>2612</v>
      </c>
      <c r="C101" s="215">
        <f>SUM(C102,C107,C110,C113,C115,C117,C120,C123,C125)</f>
        <v>3877</v>
      </c>
      <c r="D101" s="215">
        <f>SUM(D102,D107,D110,D113,D115,D117,D120,D123,D125)</f>
        <v>3307</v>
      </c>
      <c r="E101" s="215">
        <f>SUM(E102,E107,E113,E115,E117,E120,E123)</f>
        <v>2985</v>
      </c>
      <c r="F101" s="216">
        <f t="shared" si="2"/>
        <v>126.60796324655436</v>
      </c>
      <c r="G101" s="216">
        <f t="shared" si="3"/>
        <v>85.29791075573897</v>
      </c>
    </row>
    <row r="102" spans="1:7" ht="19.5" customHeight="1">
      <c r="A102" s="214" t="s">
        <v>244</v>
      </c>
      <c r="B102" s="215">
        <f>SUM(B103:B106)</f>
        <v>1214</v>
      </c>
      <c r="C102" s="215">
        <f>SUM(C103:C106)</f>
        <v>1474</v>
      </c>
      <c r="D102" s="215">
        <f>SUM(D103:D106)</f>
        <v>1474</v>
      </c>
      <c r="E102" s="215">
        <f>SUM(E103:E106)</f>
        <v>1356</v>
      </c>
      <c r="F102" s="216">
        <f t="shared" si="2"/>
        <v>121.4168039538715</v>
      </c>
      <c r="G102" s="216">
        <f t="shared" si="3"/>
        <v>100</v>
      </c>
    </row>
    <row r="103" spans="1:7" ht="19.5" customHeight="1">
      <c r="A103" s="214" t="s">
        <v>245</v>
      </c>
      <c r="B103" s="215">
        <v>592</v>
      </c>
      <c r="C103" s="215">
        <v>761</v>
      </c>
      <c r="D103" s="215">
        <v>761</v>
      </c>
      <c r="E103" s="215">
        <v>729</v>
      </c>
      <c r="F103" s="216">
        <f t="shared" si="2"/>
        <v>128.5472972972973</v>
      </c>
      <c r="G103" s="216">
        <f t="shared" si="3"/>
        <v>100</v>
      </c>
    </row>
    <row r="104" spans="1:7" ht="19.5" customHeight="1">
      <c r="A104" s="214" t="s">
        <v>246</v>
      </c>
      <c r="B104" s="215">
        <v>130</v>
      </c>
      <c r="C104" s="215">
        <v>144</v>
      </c>
      <c r="D104" s="215">
        <v>144</v>
      </c>
      <c r="E104" s="215">
        <v>111</v>
      </c>
      <c r="F104" s="216">
        <f t="shared" si="2"/>
        <v>110.76923076923077</v>
      </c>
      <c r="G104" s="216">
        <f t="shared" si="3"/>
        <v>100</v>
      </c>
    </row>
    <row r="105" spans="1:7" ht="19.5" customHeight="1">
      <c r="A105" s="214" t="s">
        <v>247</v>
      </c>
      <c r="B105" s="215">
        <v>169</v>
      </c>
      <c r="C105" s="215">
        <v>179</v>
      </c>
      <c r="D105" s="215">
        <v>179</v>
      </c>
      <c r="E105" s="215">
        <v>181</v>
      </c>
      <c r="F105" s="216">
        <f t="shared" si="2"/>
        <v>105.91715976331362</v>
      </c>
      <c r="G105" s="216">
        <f t="shared" si="3"/>
        <v>100</v>
      </c>
    </row>
    <row r="106" spans="1:7" ht="19.5" customHeight="1">
      <c r="A106" s="214" t="s">
        <v>248</v>
      </c>
      <c r="B106" s="215">
        <v>323</v>
      </c>
      <c r="C106" s="215">
        <v>390</v>
      </c>
      <c r="D106" s="215">
        <v>390</v>
      </c>
      <c r="E106" s="215">
        <v>335</v>
      </c>
      <c r="F106" s="216">
        <f t="shared" si="2"/>
        <v>120.74303405572755</v>
      </c>
      <c r="G106" s="216">
        <f t="shared" si="3"/>
        <v>100</v>
      </c>
    </row>
    <row r="107" spans="1:7" ht="19.5" customHeight="1">
      <c r="A107" s="214" t="s">
        <v>249</v>
      </c>
      <c r="B107" s="215">
        <f>SUM(B108:B109)</f>
        <v>656</v>
      </c>
      <c r="C107" s="215">
        <f>SUM(C108:C109)</f>
        <v>714</v>
      </c>
      <c r="D107" s="215">
        <f>SUM(D108:D109)</f>
        <v>714</v>
      </c>
      <c r="E107" s="215">
        <f>SUM(E108:E109)</f>
        <v>782</v>
      </c>
      <c r="F107" s="216">
        <f t="shared" si="2"/>
        <v>108.84146341463415</v>
      </c>
      <c r="G107" s="216">
        <f t="shared" si="3"/>
        <v>100</v>
      </c>
    </row>
    <row r="108" spans="1:7" ht="19.5" customHeight="1">
      <c r="A108" s="214" t="s">
        <v>250</v>
      </c>
      <c r="B108" s="215">
        <v>656</v>
      </c>
      <c r="C108" s="215">
        <v>714</v>
      </c>
      <c r="D108" s="215">
        <v>714</v>
      </c>
      <c r="E108" s="215">
        <v>679</v>
      </c>
      <c r="F108" s="216">
        <f t="shared" si="2"/>
        <v>108.84146341463415</v>
      </c>
      <c r="G108" s="216">
        <f t="shared" si="3"/>
        <v>100</v>
      </c>
    </row>
    <row r="109" spans="1:7" ht="19.5" customHeight="1">
      <c r="A109" s="214" t="s">
        <v>251</v>
      </c>
      <c r="B109" s="215"/>
      <c r="C109" s="215"/>
      <c r="D109" s="215"/>
      <c r="E109" s="215">
        <v>103</v>
      </c>
      <c r="F109" s="216">
        <f t="shared" si="2"/>
        <v>0</v>
      </c>
      <c r="G109" s="216">
        <f t="shared" si="3"/>
        <v>0</v>
      </c>
    </row>
    <row r="110" spans="1:7" ht="19.5" customHeight="1">
      <c r="A110" s="214" t="s">
        <v>252</v>
      </c>
      <c r="B110" s="215"/>
      <c r="C110" s="215">
        <f>C111+C112</f>
        <v>570</v>
      </c>
      <c r="D110" s="215">
        <v>0</v>
      </c>
      <c r="E110" s="215"/>
      <c r="F110" s="216"/>
      <c r="G110" s="216"/>
    </row>
    <row r="111" spans="1:7" ht="19.5" customHeight="1">
      <c r="A111" s="247" t="s">
        <v>253</v>
      </c>
      <c r="B111" s="215"/>
      <c r="C111" s="215">
        <v>552</v>
      </c>
      <c r="D111" s="215">
        <v>0</v>
      </c>
      <c r="E111" s="215"/>
      <c r="F111" s="216"/>
      <c r="G111" s="216"/>
    </row>
    <row r="112" spans="1:7" ht="19.5" customHeight="1">
      <c r="A112" s="247" t="s">
        <v>254</v>
      </c>
      <c r="B112" s="215"/>
      <c r="C112" s="215">
        <v>18</v>
      </c>
      <c r="D112" s="215">
        <v>0</v>
      </c>
      <c r="E112" s="215"/>
      <c r="F112" s="216"/>
      <c r="G112" s="216"/>
    </row>
    <row r="113" spans="1:7" ht="19.5" customHeight="1">
      <c r="A113" s="214" t="s">
        <v>255</v>
      </c>
      <c r="B113" s="215">
        <f>SUM(B114)</f>
        <v>173</v>
      </c>
      <c r="C113" s="215">
        <f>SUM(C114)</f>
        <v>164</v>
      </c>
      <c r="D113" s="215">
        <f>SUM(D114)</f>
        <v>164</v>
      </c>
      <c r="E113" s="215">
        <f>SUM(E114)</f>
        <v>179</v>
      </c>
      <c r="F113" s="216">
        <f t="shared" si="2"/>
        <v>94.79768786127167</v>
      </c>
      <c r="G113" s="216">
        <f t="shared" si="3"/>
        <v>100</v>
      </c>
    </row>
    <row r="114" spans="1:7" ht="19.5" customHeight="1">
      <c r="A114" s="214" t="s">
        <v>256</v>
      </c>
      <c r="B114" s="215">
        <v>173</v>
      </c>
      <c r="C114" s="215">
        <v>164</v>
      </c>
      <c r="D114" s="215">
        <v>164</v>
      </c>
      <c r="E114" s="215">
        <v>179</v>
      </c>
      <c r="F114" s="216">
        <f t="shared" si="2"/>
        <v>94.79768786127167</v>
      </c>
      <c r="G114" s="216">
        <f t="shared" si="3"/>
        <v>100</v>
      </c>
    </row>
    <row r="115" spans="1:7" ht="19.5" customHeight="1">
      <c r="A115" s="214" t="s">
        <v>257</v>
      </c>
      <c r="B115" s="215">
        <f>SUM(B116)</f>
        <v>58</v>
      </c>
      <c r="C115" s="215">
        <f>SUM(C116)</f>
        <v>19</v>
      </c>
      <c r="D115" s="215">
        <f>SUM(D116)</f>
        <v>19</v>
      </c>
      <c r="E115" s="215">
        <f>SUM(E116)</f>
        <v>63</v>
      </c>
      <c r="F115" s="216">
        <f t="shared" si="2"/>
        <v>32.758620689655174</v>
      </c>
      <c r="G115" s="216">
        <f t="shared" si="3"/>
        <v>100</v>
      </c>
    </row>
    <row r="116" spans="1:7" ht="19.5" customHeight="1">
      <c r="A116" s="214" t="s">
        <v>258</v>
      </c>
      <c r="B116" s="215">
        <v>58</v>
      </c>
      <c r="C116" s="215">
        <v>19</v>
      </c>
      <c r="D116" s="215">
        <v>19</v>
      </c>
      <c r="E116" s="215">
        <v>63</v>
      </c>
      <c r="F116" s="216">
        <f t="shared" si="2"/>
        <v>32.758620689655174</v>
      </c>
      <c r="G116" s="216">
        <f t="shared" si="3"/>
        <v>100</v>
      </c>
    </row>
    <row r="117" spans="1:7" ht="19.5" customHeight="1">
      <c r="A117" s="214" t="s">
        <v>259</v>
      </c>
      <c r="B117" s="215">
        <f>SUM(B118:B119)</f>
        <v>79</v>
      </c>
      <c r="C117" s="215">
        <f>SUM(C118:C119)</f>
        <v>93</v>
      </c>
      <c r="D117" s="215">
        <f>SUM(D118:D119)</f>
        <v>93</v>
      </c>
      <c r="E117" s="215">
        <f>SUM(E118:E119)</f>
        <v>103</v>
      </c>
      <c r="F117" s="216">
        <f t="shared" si="2"/>
        <v>117.72151898734178</v>
      </c>
      <c r="G117" s="216">
        <f t="shared" si="3"/>
        <v>100</v>
      </c>
    </row>
    <row r="118" spans="1:7" ht="19.5" customHeight="1">
      <c r="A118" s="249" t="s">
        <v>260</v>
      </c>
      <c r="B118" s="215">
        <v>79</v>
      </c>
      <c r="C118" s="215">
        <v>93</v>
      </c>
      <c r="D118" s="215">
        <v>93</v>
      </c>
      <c r="E118" s="215">
        <v>103</v>
      </c>
      <c r="F118" s="216">
        <f t="shared" si="2"/>
        <v>117.72151898734178</v>
      </c>
      <c r="G118" s="216">
        <f t="shared" si="3"/>
        <v>100</v>
      </c>
    </row>
    <row r="119" spans="1:7" ht="19.5" customHeight="1">
      <c r="A119" s="221" t="s">
        <v>261</v>
      </c>
      <c r="B119" s="215"/>
      <c r="C119" s="215"/>
      <c r="D119" s="215"/>
      <c r="E119" s="215">
        <v>0</v>
      </c>
      <c r="F119" s="216">
        <f t="shared" si="2"/>
        <v>0</v>
      </c>
      <c r="G119" s="216">
        <f t="shared" si="3"/>
        <v>0</v>
      </c>
    </row>
    <row r="120" spans="1:7" ht="19.5" customHeight="1">
      <c r="A120" s="250" t="s">
        <v>262</v>
      </c>
      <c r="B120" s="215">
        <f>SUM(B121:B122)</f>
        <v>313</v>
      </c>
      <c r="C120" s="215">
        <f>SUM(C121:C122)</f>
        <v>422</v>
      </c>
      <c r="D120" s="215">
        <f>SUM(D121:D122)</f>
        <v>422</v>
      </c>
      <c r="E120" s="215">
        <f>SUM(E121:E122)</f>
        <v>364</v>
      </c>
      <c r="F120" s="216">
        <f t="shared" si="2"/>
        <v>134.82428115015975</v>
      </c>
      <c r="G120" s="216">
        <f t="shared" si="3"/>
        <v>100</v>
      </c>
    </row>
    <row r="121" spans="1:7" ht="19.5" customHeight="1">
      <c r="A121" s="214" t="s">
        <v>263</v>
      </c>
      <c r="B121" s="215">
        <v>187</v>
      </c>
      <c r="C121" s="215">
        <v>255</v>
      </c>
      <c r="D121" s="215">
        <v>255</v>
      </c>
      <c r="E121" s="215">
        <v>241</v>
      </c>
      <c r="F121" s="216">
        <f t="shared" si="2"/>
        <v>136.36363636363635</v>
      </c>
      <c r="G121" s="216">
        <f t="shared" si="3"/>
        <v>100</v>
      </c>
    </row>
    <row r="122" spans="1:7" ht="19.5" customHeight="1">
      <c r="A122" s="214" t="s">
        <v>264</v>
      </c>
      <c r="B122" s="215">
        <v>126</v>
      </c>
      <c r="C122" s="215">
        <v>167</v>
      </c>
      <c r="D122" s="215">
        <v>167</v>
      </c>
      <c r="E122" s="215">
        <v>123</v>
      </c>
      <c r="F122" s="216">
        <f t="shared" si="2"/>
        <v>132.53968253968253</v>
      </c>
      <c r="G122" s="216">
        <f t="shared" si="3"/>
        <v>100</v>
      </c>
    </row>
    <row r="123" spans="1:7" ht="19.5" customHeight="1">
      <c r="A123" s="214" t="s">
        <v>265</v>
      </c>
      <c r="B123" s="215">
        <f>SUM(B124)</f>
        <v>119</v>
      </c>
      <c r="C123" s="215">
        <f>SUM(C124)</f>
        <v>133</v>
      </c>
      <c r="D123" s="215">
        <f>SUM(D124)</f>
        <v>133</v>
      </c>
      <c r="E123" s="215">
        <f>SUM(E124)</f>
        <v>138</v>
      </c>
      <c r="F123" s="216">
        <f t="shared" si="2"/>
        <v>111.76470588235294</v>
      </c>
      <c r="G123" s="216">
        <f t="shared" si="3"/>
        <v>100</v>
      </c>
    </row>
    <row r="124" spans="1:7" ht="19.5" customHeight="1">
      <c r="A124" s="214" t="s">
        <v>266</v>
      </c>
      <c r="B124" s="215">
        <v>119</v>
      </c>
      <c r="C124" s="215">
        <v>133</v>
      </c>
      <c r="D124" s="215">
        <v>133</v>
      </c>
      <c r="E124" s="215">
        <v>138</v>
      </c>
      <c r="F124" s="216">
        <f t="shared" si="2"/>
        <v>111.76470588235294</v>
      </c>
      <c r="G124" s="216">
        <f t="shared" si="3"/>
        <v>100</v>
      </c>
    </row>
    <row r="125" spans="1:7" ht="19.5" customHeight="1">
      <c r="A125" s="214" t="s">
        <v>267</v>
      </c>
      <c r="B125" s="215"/>
      <c r="C125" s="215">
        <f>C126+C127</f>
        <v>288</v>
      </c>
      <c r="D125" s="215">
        <f>D126+D127</f>
        <v>288</v>
      </c>
      <c r="E125" s="215"/>
      <c r="F125" s="216"/>
      <c r="G125" s="216"/>
    </row>
    <row r="126" spans="1:7" ht="19.5" customHeight="1">
      <c r="A126" s="247" t="s">
        <v>268</v>
      </c>
      <c r="B126" s="215"/>
      <c r="C126" s="215">
        <v>158</v>
      </c>
      <c r="D126" s="215">
        <v>158</v>
      </c>
      <c r="E126" s="215"/>
      <c r="F126" s="216"/>
      <c r="G126" s="216"/>
    </row>
    <row r="127" spans="1:7" ht="19.5" customHeight="1">
      <c r="A127" s="247" t="s">
        <v>269</v>
      </c>
      <c r="B127" s="215"/>
      <c r="C127" s="215">
        <v>130</v>
      </c>
      <c r="D127" s="215">
        <v>130</v>
      </c>
      <c r="E127" s="215"/>
      <c r="F127" s="216"/>
      <c r="G127" s="216"/>
    </row>
    <row r="128" spans="1:7" ht="19.5" customHeight="1">
      <c r="A128" s="214" t="s">
        <v>270</v>
      </c>
      <c r="B128" s="215">
        <f>SUM(B129,B131,B134,B137,B141,B143)</f>
        <v>27782</v>
      </c>
      <c r="C128" s="215">
        <f>SUM(C129,C131,C134,C137,C141,C143,C148)</f>
        <v>32913</v>
      </c>
      <c r="D128" s="215">
        <f>SUM(D129,D131,D134,D137,D141,D143,D148)-1</f>
        <v>32428</v>
      </c>
      <c r="E128" s="215">
        <f>SUM(E129,E131,E134,E137,E141,E143)</f>
        <v>30439</v>
      </c>
      <c r="F128" s="216">
        <f t="shared" si="2"/>
        <v>116.72305809516953</v>
      </c>
      <c r="G128" s="216">
        <f t="shared" si="3"/>
        <v>98.52641813265275</v>
      </c>
    </row>
    <row r="129" spans="1:7" ht="19.5" customHeight="1">
      <c r="A129" s="214" t="s">
        <v>271</v>
      </c>
      <c r="B129" s="215">
        <f>SUM(B130)</f>
        <v>787</v>
      </c>
      <c r="C129" s="215">
        <f>SUM(C130)</f>
        <v>943</v>
      </c>
      <c r="D129" s="215">
        <f>SUM(D130)</f>
        <v>943</v>
      </c>
      <c r="E129" s="215">
        <f>SUM(E130)</f>
        <v>880</v>
      </c>
      <c r="F129" s="216">
        <f t="shared" si="2"/>
        <v>119.82210927573063</v>
      </c>
      <c r="G129" s="216">
        <f t="shared" si="3"/>
        <v>100</v>
      </c>
    </row>
    <row r="130" spans="1:7" ht="19.5" customHeight="1">
      <c r="A130" s="214" t="s">
        <v>272</v>
      </c>
      <c r="B130" s="215">
        <v>787</v>
      </c>
      <c r="C130" s="215">
        <v>943</v>
      </c>
      <c r="D130" s="215">
        <v>943</v>
      </c>
      <c r="E130" s="215">
        <v>880</v>
      </c>
      <c r="F130" s="216">
        <f t="shared" si="2"/>
        <v>119.82210927573063</v>
      </c>
      <c r="G130" s="216">
        <f t="shared" si="3"/>
        <v>100</v>
      </c>
    </row>
    <row r="131" spans="1:7" ht="19.5" customHeight="1">
      <c r="A131" s="214" t="s">
        <v>273</v>
      </c>
      <c r="B131" s="215">
        <f>SUM(B132:B133)</f>
        <v>439</v>
      </c>
      <c r="C131" s="215">
        <f>SUM(C132:C133)</f>
        <v>1119</v>
      </c>
      <c r="D131" s="215">
        <f>SUM(D132:D133)</f>
        <v>1119</v>
      </c>
      <c r="E131" s="215">
        <f>SUM(E132:E133)</f>
        <v>909</v>
      </c>
      <c r="F131" s="216">
        <f t="shared" si="2"/>
        <v>254.89749430523915</v>
      </c>
      <c r="G131" s="216">
        <f t="shared" si="3"/>
        <v>100</v>
      </c>
    </row>
    <row r="132" spans="1:7" ht="19.5" customHeight="1">
      <c r="A132" s="214" t="s">
        <v>274</v>
      </c>
      <c r="B132" s="215">
        <v>395</v>
      </c>
      <c r="C132" s="215">
        <v>797</v>
      </c>
      <c r="D132" s="215">
        <v>797</v>
      </c>
      <c r="E132" s="215">
        <v>613</v>
      </c>
      <c r="F132" s="216">
        <f t="shared" si="2"/>
        <v>201.7721518987342</v>
      </c>
      <c r="G132" s="216">
        <f t="shared" si="3"/>
        <v>100</v>
      </c>
    </row>
    <row r="133" spans="1:7" ht="19.5" customHeight="1">
      <c r="A133" s="214" t="s">
        <v>275</v>
      </c>
      <c r="B133" s="215">
        <v>44</v>
      </c>
      <c r="C133" s="215">
        <v>322</v>
      </c>
      <c r="D133" s="215">
        <v>322</v>
      </c>
      <c r="E133" s="215">
        <v>296</v>
      </c>
      <c r="F133" s="216">
        <f t="shared" si="2"/>
        <v>731.8181818181819</v>
      </c>
      <c r="G133" s="216">
        <f t="shared" si="3"/>
        <v>100</v>
      </c>
    </row>
    <row r="134" spans="1:7" ht="19.5" customHeight="1">
      <c r="A134" s="214" t="s">
        <v>276</v>
      </c>
      <c r="B134" s="215">
        <f>SUM(B135:B136)</f>
        <v>10534</v>
      </c>
      <c r="C134" s="215">
        <f>SUM(C135:C136)</f>
        <v>13132</v>
      </c>
      <c r="D134" s="215">
        <f>SUM(D135:D136)</f>
        <v>13132</v>
      </c>
      <c r="E134" s="215">
        <f>SUM(E135:E136)</f>
        <v>10597</v>
      </c>
      <c r="F134" s="216">
        <f t="shared" si="2"/>
        <v>124.66299601291058</v>
      </c>
      <c r="G134" s="216">
        <f t="shared" si="3"/>
        <v>100</v>
      </c>
    </row>
    <row r="135" spans="1:7" ht="19.5" customHeight="1">
      <c r="A135" s="214" t="s">
        <v>277</v>
      </c>
      <c r="B135" s="215">
        <v>3796</v>
      </c>
      <c r="C135" s="215">
        <v>4409</v>
      </c>
      <c r="D135" s="215">
        <v>4409</v>
      </c>
      <c r="E135" s="215">
        <v>3782</v>
      </c>
      <c r="F135" s="216">
        <f t="shared" si="2"/>
        <v>116.14857744994731</v>
      </c>
      <c r="G135" s="216">
        <f t="shared" si="3"/>
        <v>100</v>
      </c>
    </row>
    <row r="136" spans="1:7" ht="19.5" customHeight="1">
      <c r="A136" s="214" t="s">
        <v>278</v>
      </c>
      <c r="B136" s="215">
        <v>6738</v>
      </c>
      <c r="C136" s="215">
        <v>8723</v>
      </c>
      <c r="D136" s="215">
        <v>8723</v>
      </c>
      <c r="E136" s="215">
        <v>6815</v>
      </c>
      <c r="F136" s="216">
        <f t="shared" si="2"/>
        <v>129.4597803502523</v>
      </c>
      <c r="G136" s="216">
        <f t="shared" si="3"/>
        <v>100</v>
      </c>
    </row>
    <row r="137" spans="1:7" ht="19.5" customHeight="1">
      <c r="A137" s="214" t="s">
        <v>279</v>
      </c>
      <c r="B137" s="215">
        <f>SUM(B138:B140)</f>
        <v>3654</v>
      </c>
      <c r="C137" s="215">
        <f>SUM(C138:C140)</f>
        <v>4139</v>
      </c>
      <c r="D137" s="215">
        <f>SUM(D138:D140)</f>
        <v>4120</v>
      </c>
      <c r="E137" s="215">
        <f>SUM(E138:E140)</f>
        <v>3924</v>
      </c>
      <c r="F137" s="216">
        <f t="shared" si="2"/>
        <v>112.75314723590586</v>
      </c>
      <c r="G137" s="216">
        <f t="shared" si="3"/>
        <v>99.54095192075381</v>
      </c>
    </row>
    <row r="138" spans="1:7" ht="19.5" customHeight="1">
      <c r="A138" s="214" t="s">
        <v>280</v>
      </c>
      <c r="B138" s="215">
        <v>1650</v>
      </c>
      <c r="C138" s="215">
        <v>1835</v>
      </c>
      <c r="D138" s="215">
        <v>1835</v>
      </c>
      <c r="E138" s="215">
        <v>1794</v>
      </c>
      <c r="F138" s="216">
        <f t="shared" si="2"/>
        <v>111.2121212121212</v>
      </c>
      <c r="G138" s="216">
        <f t="shared" si="3"/>
        <v>100</v>
      </c>
    </row>
    <row r="139" spans="1:7" ht="19.5" customHeight="1">
      <c r="A139" s="214" t="s">
        <v>281</v>
      </c>
      <c r="B139" s="215">
        <v>805</v>
      </c>
      <c r="C139" s="215">
        <v>931</v>
      </c>
      <c r="D139" s="215">
        <v>912</v>
      </c>
      <c r="E139" s="215">
        <v>885</v>
      </c>
      <c r="F139" s="216">
        <f t="shared" si="2"/>
        <v>113.2919254658385</v>
      </c>
      <c r="G139" s="216">
        <f t="shared" si="3"/>
        <v>97.95918367346938</v>
      </c>
    </row>
    <row r="140" spans="1:7" ht="19.5" customHeight="1">
      <c r="A140" s="214" t="s">
        <v>282</v>
      </c>
      <c r="B140" s="215">
        <v>1199</v>
      </c>
      <c r="C140" s="215">
        <v>1373</v>
      </c>
      <c r="D140" s="215">
        <v>1373</v>
      </c>
      <c r="E140" s="215">
        <v>1245</v>
      </c>
      <c r="F140" s="216">
        <f t="shared" si="2"/>
        <v>114.51209341117598</v>
      </c>
      <c r="G140" s="216">
        <f t="shared" si="3"/>
        <v>100</v>
      </c>
    </row>
    <row r="141" spans="1:7" ht="19.5" customHeight="1">
      <c r="A141" s="214" t="s">
        <v>283</v>
      </c>
      <c r="B141" s="215">
        <f>SUM(B142)</f>
        <v>63</v>
      </c>
      <c r="C141" s="215">
        <f>SUM(C142)</f>
        <v>70</v>
      </c>
      <c r="D141" s="215">
        <f>SUM(D142)</f>
        <v>70</v>
      </c>
      <c r="E141" s="215">
        <f>SUM(E142)</f>
        <v>64</v>
      </c>
      <c r="F141" s="216">
        <f t="shared" si="2"/>
        <v>111.11111111111111</v>
      </c>
      <c r="G141" s="216">
        <f t="shared" si="3"/>
        <v>100</v>
      </c>
    </row>
    <row r="142" spans="1:7" ht="19.5" customHeight="1">
      <c r="A142" s="214" t="s">
        <v>284</v>
      </c>
      <c r="B142" s="215">
        <v>63</v>
      </c>
      <c r="C142" s="215">
        <v>70</v>
      </c>
      <c r="D142" s="215">
        <v>70</v>
      </c>
      <c r="E142" s="215">
        <v>64</v>
      </c>
      <c r="F142" s="216">
        <f t="shared" si="2"/>
        <v>111.11111111111111</v>
      </c>
      <c r="G142" s="216">
        <f t="shared" si="3"/>
        <v>100</v>
      </c>
    </row>
    <row r="143" spans="1:7" ht="19.5" customHeight="1">
      <c r="A143" s="221" t="s">
        <v>285</v>
      </c>
      <c r="B143" s="215">
        <f>SUM(B144:B147)</f>
        <v>12305</v>
      </c>
      <c r="C143" s="215">
        <f>SUM(C144:C147)</f>
        <v>13406</v>
      </c>
      <c r="D143" s="215">
        <f>SUM(D144:D147)</f>
        <v>12941</v>
      </c>
      <c r="E143" s="215">
        <f>SUM(E144:E147)</f>
        <v>14065</v>
      </c>
      <c r="F143" s="216">
        <f t="shared" si="2"/>
        <v>105.16863063795205</v>
      </c>
      <c r="G143" s="216">
        <f t="shared" si="3"/>
        <v>96.53140384902282</v>
      </c>
    </row>
    <row r="144" spans="1:7" ht="19.5" customHeight="1">
      <c r="A144" s="221" t="s">
        <v>286</v>
      </c>
      <c r="B144" s="215">
        <v>2927</v>
      </c>
      <c r="C144" s="215">
        <v>3202</v>
      </c>
      <c r="D144" s="215">
        <v>2926</v>
      </c>
      <c r="E144" s="215">
        <v>2901</v>
      </c>
      <c r="F144" s="216">
        <f t="shared" si="2"/>
        <v>99.96583532627264</v>
      </c>
      <c r="G144" s="216">
        <f t="shared" si="3"/>
        <v>91.38038725796378</v>
      </c>
    </row>
    <row r="145" spans="1:7" ht="19.5" customHeight="1">
      <c r="A145" s="221" t="s">
        <v>287</v>
      </c>
      <c r="B145" s="215">
        <v>6423</v>
      </c>
      <c r="C145" s="215">
        <v>6176</v>
      </c>
      <c r="D145" s="215">
        <v>6158</v>
      </c>
      <c r="E145" s="215">
        <v>6587</v>
      </c>
      <c r="F145" s="216">
        <f t="shared" si="2"/>
        <v>95.87420208625252</v>
      </c>
      <c r="G145" s="216">
        <f t="shared" si="3"/>
        <v>99.70854922279793</v>
      </c>
    </row>
    <row r="146" spans="1:7" ht="19.5" customHeight="1">
      <c r="A146" s="221" t="s">
        <v>288</v>
      </c>
      <c r="B146" s="215">
        <v>2891</v>
      </c>
      <c r="C146" s="215">
        <v>3982</v>
      </c>
      <c r="D146" s="215">
        <v>3817</v>
      </c>
      <c r="E146" s="215">
        <v>4508</v>
      </c>
      <c r="F146" s="216">
        <f t="shared" si="2"/>
        <v>132.03043929436183</v>
      </c>
      <c r="G146" s="216">
        <f t="shared" si="3"/>
        <v>95.85635359116023</v>
      </c>
    </row>
    <row r="147" spans="1:7" ht="19.5" customHeight="1">
      <c r="A147" s="221" t="s">
        <v>289</v>
      </c>
      <c r="B147" s="215">
        <v>64</v>
      </c>
      <c r="C147" s="215">
        <v>46</v>
      </c>
      <c r="D147" s="215">
        <v>40</v>
      </c>
      <c r="E147" s="215">
        <v>69</v>
      </c>
      <c r="F147" s="216">
        <f t="shared" si="2"/>
        <v>62.5</v>
      </c>
      <c r="G147" s="216">
        <f t="shared" si="3"/>
        <v>86.95652173913044</v>
      </c>
    </row>
    <row r="148" spans="1:7" ht="19.5" customHeight="1">
      <c r="A148" s="221" t="s">
        <v>290</v>
      </c>
      <c r="B148" s="215"/>
      <c r="C148" s="215">
        <f>C149+C150</f>
        <v>104</v>
      </c>
      <c r="D148" s="215">
        <f>D149+D150</f>
        <v>104</v>
      </c>
      <c r="E148" s="215"/>
      <c r="F148" s="216"/>
      <c r="G148" s="216"/>
    </row>
    <row r="149" spans="1:7" ht="19.5" customHeight="1">
      <c r="A149" s="247" t="s">
        <v>291</v>
      </c>
      <c r="B149" s="215"/>
      <c r="C149" s="215">
        <v>71</v>
      </c>
      <c r="D149" s="215">
        <v>71</v>
      </c>
      <c r="E149" s="215"/>
      <c r="F149" s="216"/>
      <c r="G149" s="216"/>
    </row>
    <row r="150" spans="1:7" ht="19.5" customHeight="1">
      <c r="A150" s="247" t="s">
        <v>292</v>
      </c>
      <c r="B150" s="215"/>
      <c r="C150" s="215">
        <v>33</v>
      </c>
      <c r="D150" s="215">
        <v>33</v>
      </c>
      <c r="E150" s="215"/>
      <c r="F150" s="216"/>
      <c r="G150" s="216"/>
    </row>
    <row r="151" spans="1:7" ht="19.5" customHeight="1">
      <c r="A151" s="214" t="s">
        <v>131</v>
      </c>
      <c r="B151" s="215">
        <f>SUM(B152,B154)</f>
        <v>1317</v>
      </c>
      <c r="C151" s="215">
        <f>SUM(C152,C154)</f>
        <v>1631</v>
      </c>
      <c r="D151" s="215">
        <f>SUM(D152,D154)</f>
        <v>1631</v>
      </c>
      <c r="E151" s="215">
        <f>SUM(E152,E154)</f>
        <v>1456</v>
      </c>
      <c r="F151" s="216">
        <f aca="true" t="shared" si="4" ref="F151:F221">IF(B151=0,0,D151/B151*100)</f>
        <v>123.84206529992407</v>
      </c>
      <c r="G151" s="216">
        <f aca="true" t="shared" si="5" ref="G151:G221">IF(D151=0,0,D151/C151*100)</f>
        <v>100</v>
      </c>
    </row>
    <row r="152" spans="1:7" ht="19.5" customHeight="1">
      <c r="A152" s="214" t="s">
        <v>293</v>
      </c>
      <c r="B152" s="215">
        <f>SUM(B153)</f>
        <v>667</v>
      </c>
      <c r="C152" s="215">
        <f>SUM(C153)</f>
        <v>875</v>
      </c>
      <c r="D152" s="215">
        <f>SUM(D153)</f>
        <v>875</v>
      </c>
      <c r="E152" s="215">
        <f>SUM(E153)</f>
        <v>783</v>
      </c>
      <c r="F152" s="216">
        <f t="shared" si="4"/>
        <v>131.18440779610194</v>
      </c>
      <c r="G152" s="216">
        <f t="shared" si="5"/>
        <v>100</v>
      </c>
    </row>
    <row r="153" spans="1:7" ht="19.5" customHeight="1">
      <c r="A153" s="214" t="s">
        <v>294</v>
      </c>
      <c r="B153" s="215">
        <v>667</v>
      </c>
      <c r="C153" s="215">
        <v>875</v>
      </c>
      <c r="D153" s="215">
        <v>875</v>
      </c>
      <c r="E153" s="215">
        <v>783</v>
      </c>
      <c r="F153" s="216">
        <f t="shared" si="4"/>
        <v>131.18440779610194</v>
      </c>
      <c r="G153" s="216">
        <f t="shared" si="5"/>
        <v>100</v>
      </c>
    </row>
    <row r="154" spans="1:7" ht="19.5" customHeight="1">
      <c r="A154" s="214" t="s">
        <v>295</v>
      </c>
      <c r="B154" s="215">
        <f>SUM(B155)</f>
        <v>650</v>
      </c>
      <c r="C154" s="215">
        <f>SUM(C155)</f>
        <v>756</v>
      </c>
      <c r="D154" s="215">
        <f>SUM(D155)</f>
        <v>756</v>
      </c>
      <c r="E154" s="215">
        <f>SUM(E155)</f>
        <v>673</v>
      </c>
      <c r="F154" s="216">
        <f t="shared" si="4"/>
        <v>116.3076923076923</v>
      </c>
      <c r="G154" s="216">
        <f t="shared" si="5"/>
        <v>100</v>
      </c>
    </row>
    <row r="155" spans="1:7" ht="19.5" customHeight="1">
      <c r="A155" s="214" t="s">
        <v>296</v>
      </c>
      <c r="B155" s="215">
        <v>650</v>
      </c>
      <c r="C155" s="215">
        <v>756</v>
      </c>
      <c r="D155" s="215">
        <v>756</v>
      </c>
      <c r="E155" s="215">
        <v>673</v>
      </c>
      <c r="F155" s="216">
        <f t="shared" si="4"/>
        <v>116.3076923076923</v>
      </c>
      <c r="G155" s="216">
        <f t="shared" si="5"/>
        <v>100</v>
      </c>
    </row>
    <row r="156" spans="1:7" ht="19.5" customHeight="1">
      <c r="A156" s="214" t="s">
        <v>132</v>
      </c>
      <c r="B156" s="215">
        <f>SUM(B157,B161,B163)</f>
        <v>5906</v>
      </c>
      <c r="C156" s="215">
        <f>SUM(C157,C161,C163)</f>
        <v>7027</v>
      </c>
      <c r="D156" s="215">
        <f>SUM(D157,D161,D163)</f>
        <v>7027</v>
      </c>
      <c r="E156" s="215">
        <f>SUM(E157,E161,E163)</f>
        <v>5756</v>
      </c>
      <c r="F156" s="216">
        <f t="shared" si="4"/>
        <v>118.98069759566543</v>
      </c>
      <c r="G156" s="216">
        <f t="shared" si="5"/>
        <v>100</v>
      </c>
    </row>
    <row r="157" spans="1:7" ht="19.5" customHeight="1">
      <c r="A157" s="214" t="s">
        <v>297</v>
      </c>
      <c r="B157" s="215">
        <f>SUM(B158:B160)</f>
        <v>4479</v>
      </c>
      <c r="C157" s="215">
        <f>SUM(C158:C160)</f>
        <v>5327</v>
      </c>
      <c r="D157" s="215">
        <f>SUM(D158:D160)</f>
        <v>5327</v>
      </c>
      <c r="E157" s="215">
        <f>SUM(E158:E160)</f>
        <v>4166</v>
      </c>
      <c r="F157" s="216">
        <f t="shared" si="4"/>
        <v>118.93279749944183</v>
      </c>
      <c r="G157" s="216">
        <f t="shared" si="5"/>
        <v>100</v>
      </c>
    </row>
    <row r="158" spans="1:7" ht="19.5" customHeight="1">
      <c r="A158" s="214" t="s">
        <v>298</v>
      </c>
      <c r="B158" s="215">
        <v>1478</v>
      </c>
      <c r="C158" s="215">
        <v>1763</v>
      </c>
      <c r="D158" s="215">
        <v>1763</v>
      </c>
      <c r="E158" s="215">
        <v>1836</v>
      </c>
      <c r="F158" s="216">
        <f t="shared" si="4"/>
        <v>119.2828146143437</v>
      </c>
      <c r="G158" s="216">
        <f t="shared" si="5"/>
        <v>100</v>
      </c>
    </row>
    <row r="159" spans="1:7" ht="19.5" customHeight="1">
      <c r="A159" s="214" t="s">
        <v>299</v>
      </c>
      <c r="B159" s="215">
        <v>1451</v>
      </c>
      <c r="C159" s="215">
        <v>1643</v>
      </c>
      <c r="D159" s="215">
        <v>1643</v>
      </c>
      <c r="E159" s="215">
        <v>1630</v>
      </c>
      <c r="F159" s="216">
        <f t="shared" si="4"/>
        <v>113.23225361819436</v>
      </c>
      <c r="G159" s="216">
        <f t="shared" si="5"/>
        <v>100</v>
      </c>
    </row>
    <row r="160" spans="1:7" ht="19.5" customHeight="1">
      <c r="A160" s="214" t="s">
        <v>300</v>
      </c>
      <c r="B160" s="215">
        <v>1550</v>
      </c>
      <c r="C160" s="215">
        <v>1921</v>
      </c>
      <c r="D160" s="215">
        <v>1921</v>
      </c>
      <c r="E160" s="215">
        <v>700</v>
      </c>
      <c r="F160" s="216">
        <f t="shared" si="4"/>
        <v>123.93548387096773</v>
      </c>
      <c r="G160" s="216">
        <f t="shared" si="5"/>
        <v>100</v>
      </c>
    </row>
    <row r="161" spans="1:7" ht="19.5" customHeight="1">
      <c r="A161" s="214" t="s">
        <v>301</v>
      </c>
      <c r="B161" s="215">
        <f>SUM(B162)</f>
        <v>159</v>
      </c>
      <c r="C161" s="215">
        <f>SUM(C162)</f>
        <v>148</v>
      </c>
      <c r="D161" s="215">
        <f>SUM(D162)</f>
        <v>148</v>
      </c>
      <c r="E161" s="215">
        <f>SUM(E162)</f>
        <v>99</v>
      </c>
      <c r="F161" s="216">
        <f t="shared" si="4"/>
        <v>93.08176100628931</v>
      </c>
      <c r="G161" s="216">
        <f t="shared" si="5"/>
        <v>100</v>
      </c>
    </row>
    <row r="162" spans="1:7" ht="19.5" customHeight="1">
      <c r="A162" s="214" t="s">
        <v>302</v>
      </c>
      <c r="B162" s="215">
        <v>159</v>
      </c>
      <c r="C162" s="215">
        <v>148</v>
      </c>
      <c r="D162" s="215">
        <v>148</v>
      </c>
      <c r="E162" s="215">
        <v>99</v>
      </c>
      <c r="F162" s="216">
        <f t="shared" si="4"/>
        <v>93.08176100628931</v>
      </c>
      <c r="G162" s="216">
        <f t="shared" si="5"/>
        <v>100</v>
      </c>
    </row>
    <row r="163" spans="1:7" ht="19.5" customHeight="1">
      <c r="A163" s="214" t="s">
        <v>303</v>
      </c>
      <c r="B163" s="215">
        <f>SUM(B164)</f>
        <v>1268</v>
      </c>
      <c r="C163" s="215">
        <f>SUM(C164)</f>
        <v>1552</v>
      </c>
      <c r="D163" s="215">
        <f>SUM(D164)</f>
        <v>1552</v>
      </c>
      <c r="E163" s="215">
        <f>SUM(E164)</f>
        <v>1491</v>
      </c>
      <c r="F163" s="216">
        <f t="shared" si="4"/>
        <v>122.397476340694</v>
      </c>
      <c r="G163" s="216">
        <f t="shared" si="5"/>
        <v>100</v>
      </c>
    </row>
    <row r="164" spans="1:7" ht="19.5" customHeight="1">
      <c r="A164" s="214" t="s">
        <v>304</v>
      </c>
      <c r="B164" s="215">
        <v>1268</v>
      </c>
      <c r="C164" s="215">
        <v>1552</v>
      </c>
      <c r="D164" s="215">
        <v>1552</v>
      </c>
      <c r="E164" s="215">
        <v>1491</v>
      </c>
      <c r="F164" s="216">
        <f t="shared" si="4"/>
        <v>122.397476340694</v>
      </c>
      <c r="G164" s="216">
        <f t="shared" si="5"/>
        <v>100</v>
      </c>
    </row>
    <row r="165" spans="1:7" ht="19.5" customHeight="1">
      <c r="A165" s="214" t="s">
        <v>133</v>
      </c>
      <c r="B165" s="215">
        <f>SUM(B166,B169,B171)</f>
        <v>6644</v>
      </c>
      <c r="C165" s="215">
        <f>SUM(C166,C169,C171)</f>
        <v>7619</v>
      </c>
      <c r="D165" s="215">
        <f>SUM(D166,D169,D171)</f>
        <v>7619</v>
      </c>
      <c r="E165" s="215">
        <f>SUM(E166,E169,E171)</f>
        <v>7681</v>
      </c>
      <c r="F165" s="216">
        <f t="shared" si="4"/>
        <v>114.67489464178206</v>
      </c>
      <c r="G165" s="216">
        <f t="shared" si="5"/>
        <v>100</v>
      </c>
    </row>
    <row r="166" spans="1:7" ht="19.5" customHeight="1">
      <c r="A166" s="214" t="s">
        <v>305</v>
      </c>
      <c r="B166" s="215">
        <f>SUM(B167:B168)</f>
        <v>3349</v>
      </c>
      <c r="C166" s="215">
        <f>SUM(C167:C168)</f>
        <v>3850</v>
      </c>
      <c r="D166" s="215">
        <f>SUM(D167:D168)</f>
        <v>3850</v>
      </c>
      <c r="E166" s="215">
        <f>SUM(E167:E168)</f>
        <v>3854</v>
      </c>
      <c r="F166" s="216">
        <f t="shared" si="4"/>
        <v>114.95968945954016</v>
      </c>
      <c r="G166" s="216">
        <f t="shared" si="5"/>
        <v>100</v>
      </c>
    </row>
    <row r="167" spans="1:7" ht="19.5" customHeight="1">
      <c r="A167" s="214" t="s">
        <v>306</v>
      </c>
      <c r="B167" s="215">
        <v>857</v>
      </c>
      <c r="C167" s="215">
        <v>919</v>
      </c>
      <c r="D167" s="215">
        <v>919</v>
      </c>
      <c r="E167" s="215">
        <v>1071</v>
      </c>
      <c r="F167" s="216">
        <f t="shared" si="4"/>
        <v>107.2345390898483</v>
      </c>
      <c r="G167" s="216">
        <f t="shared" si="5"/>
        <v>100</v>
      </c>
    </row>
    <row r="168" spans="1:7" ht="19.5" customHeight="1">
      <c r="A168" s="214" t="s">
        <v>307</v>
      </c>
      <c r="B168" s="215">
        <v>2492</v>
      </c>
      <c r="C168" s="215">
        <v>2931</v>
      </c>
      <c r="D168" s="215">
        <v>2931</v>
      </c>
      <c r="E168" s="215">
        <v>2783</v>
      </c>
      <c r="F168" s="216">
        <f t="shared" si="4"/>
        <v>117.6163723916533</v>
      </c>
      <c r="G168" s="216">
        <f t="shared" si="5"/>
        <v>100</v>
      </c>
    </row>
    <row r="169" spans="1:7" ht="19.5" customHeight="1">
      <c r="A169" s="214" t="s">
        <v>308</v>
      </c>
      <c r="B169" s="215">
        <f>SUM(B170)</f>
        <v>0</v>
      </c>
      <c r="C169" s="215">
        <f>SUM(C170)</f>
        <v>0</v>
      </c>
      <c r="D169" s="215">
        <f>SUM(D170)</f>
        <v>0</v>
      </c>
      <c r="E169" s="215">
        <f>SUM(E170)</f>
        <v>99</v>
      </c>
      <c r="F169" s="216">
        <f t="shared" si="4"/>
        <v>0</v>
      </c>
      <c r="G169" s="216">
        <f t="shared" si="5"/>
        <v>0</v>
      </c>
    </row>
    <row r="170" spans="1:7" ht="19.5" customHeight="1">
      <c r="A170" s="214" t="s">
        <v>309</v>
      </c>
      <c r="B170" s="215"/>
      <c r="C170" s="215"/>
      <c r="D170" s="215"/>
      <c r="E170" s="215">
        <v>99</v>
      </c>
      <c r="F170" s="216">
        <f t="shared" si="4"/>
        <v>0</v>
      </c>
      <c r="G170" s="216">
        <f t="shared" si="5"/>
        <v>0</v>
      </c>
    </row>
    <row r="171" spans="1:7" ht="19.5" customHeight="1">
      <c r="A171" s="214" t="s">
        <v>310</v>
      </c>
      <c r="B171" s="215">
        <f>SUM(B172:B173)</f>
        <v>3295</v>
      </c>
      <c r="C171" s="215">
        <f>SUM(C172:C173)</f>
        <v>3769</v>
      </c>
      <c r="D171" s="215">
        <f>SUM(D172:D173)</f>
        <v>3769</v>
      </c>
      <c r="E171" s="215">
        <f>SUM(E172:E173)</f>
        <v>3728</v>
      </c>
      <c r="F171" s="216">
        <f t="shared" si="4"/>
        <v>114.38543247344461</v>
      </c>
      <c r="G171" s="216">
        <f t="shared" si="5"/>
        <v>100</v>
      </c>
    </row>
    <row r="172" spans="1:7" ht="19.5" customHeight="1">
      <c r="A172" s="214" t="s">
        <v>311</v>
      </c>
      <c r="B172" s="215">
        <v>875</v>
      </c>
      <c r="C172" s="215">
        <v>965</v>
      </c>
      <c r="D172" s="215">
        <v>965</v>
      </c>
      <c r="E172" s="215">
        <v>1067</v>
      </c>
      <c r="F172" s="216">
        <f t="shared" si="4"/>
        <v>110.28571428571428</v>
      </c>
      <c r="G172" s="216">
        <f t="shared" si="5"/>
        <v>100</v>
      </c>
    </row>
    <row r="173" spans="1:7" ht="19.5" customHeight="1">
      <c r="A173" s="214" t="s">
        <v>312</v>
      </c>
      <c r="B173" s="215">
        <v>2420</v>
      </c>
      <c r="C173" s="215">
        <v>2804</v>
      </c>
      <c r="D173" s="215">
        <v>2804</v>
      </c>
      <c r="E173" s="215">
        <v>2661</v>
      </c>
      <c r="F173" s="216">
        <f t="shared" si="4"/>
        <v>115.86776859504133</v>
      </c>
      <c r="G173" s="216">
        <f t="shared" si="5"/>
        <v>100</v>
      </c>
    </row>
    <row r="174" spans="1:7" ht="19.5" customHeight="1">
      <c r="A174" s="214" t="s">
        <v>134</v>
      </c>
      <c r="B174" s="215">
        <f>SUM(B175)</f>
        <v>824</v>
      </c>
      <c r="C174" s="215">
        <f>SUM(C175)</f>
        <v>962</v>
      </c>
      <c r="D174" s="215">
        <f>SUM(D175)</f>
        <v>962</v>
      </c>
      <c r="E174" s="215">
        <f>SUM(E175)</f>
        <v>1035</v>
      </c>
      <c r="F174" s="216">
        <f t="shared" si="4"/>
        <v>116.74757281553399</v>
      </c>
      <c r="G174" s="216">
        <f t="shared" si="5"/>
        <v>100</v>
      </c>
    </row>
    <row r="175" spans="1:7" ht="19.5" customHeight="1">
      <c r="A175" s="214" t="s">
        <v>313</v>
      </c>
      <c r="B175" s="215">
        <f>SUM(B176:B177)</f>
        <v>824</v>
      </c>
      <c r="C175" s="215">
        <f>SUM(C176:C177)</f>
        <v>962</v>
      </c>
      <c r="D175" s="215">
        <f>SUM(D176:D177)</f>
        <v>962</v>
      </c>
      <c r="E175" s="215">
        <f>SUM(E176:E177)</f>
        <v>1035</v>
      </c>
      <c r="F175" s="216">
        <f t="shared" si="4"/>
        <v>116.74757281553399</v>
      </c>
      <c r="G175" s="216">
        <f t="shared" si="5"/>
        <v>100</v>
      </c>
    </row>
    <row r="176" spans="1:7" ht="19.5" customHeight="1">
      <c r="A176" s="249" t="s">
        <v>314</v>
      </c>
      <c r="B176" s="215">
        <v>677</v>
      </c>
      <c r="C176" s="215">
        <v>790</v>
      </c>
      <c r="D176" s="215">
        <v>790</v>
      </c>
      <c r="E176" s="215">
        <v>887</v>
      </c>
      <c r="F176" s="216">
        <f t="shared" si="4"/>
        <v>116.69128508124076</v>
      </c>
      <c r="G176" s="216">
        <f t="shared" si="5"/>
        <v>100</v>
      </c>
    </row>
    <row r="177" spans="1:7" ht="19.5" customHeight="1">
      <c r="A177" s="214" t="s">
        <v>315</v>
      </c>
      <c r="B177" s="215">
        <v>147</v>
      </c>
      <c r="C177" s="215">
        <v>172</v>
      </c>
      <c r="D177" s="215">
        <v>172</v>
      </c>
      <c r="E177" s="215">
        <v>148</v>
      </c>
      <c r="F177" s="216">
        <f t="shared" si="4"/>
        <v>117.00680272108843</v>
      </c>
      <c r="G177" s="216">
        <f t="shared" si="5"/>
        <v>100</v>
      </c>
    </row>
    <row r="178" spans="1:7" ht="19.5" customHeight="1">
      <c r="A178" s="250" t="s">
        <v>135</v>
      </c>
      <c r="B178" s="215">
        <f>SUM(B179,B181,B183)</f>
        <v>903</v>
      </c>
      <c r="C178" s="215">
        <f>SUM(C179,C181,C183)</f>
        <v>1100</v>
      </c>
      <c r="D178" s="215">
        <f>SUM(D179,D181,D183)</f>
        <v>1100</v>
      </c>
      <c r="E178" s="215">
        <f>SUM(E179,E181,E183)</f>
        <v>2078</v>
      </c>
      <c r="F178" s="216">
        <f t="shared" si="4"/>
        <v>121.81616832779622</v>
      </c>
      <c r="G178" s="216">
        <f t="shared" si="5"/>
        <v>100</v>
      </c>
    </row>
    <row r="179" spans="1:7" ht="19.5" customHeight="1">
      <c r="A179" s="214" t="s">
        <v>316</v>
      </c>
      <c r="B179" s="215">
        <f>SUM(B180)</f>
        <v>0</v>
      </c>
      <c r="C179" s="215">
        <f>SUM(C180)</f>
        <v>0</v>
      </c>
      <c r="D179" s="215">
        <f>SUM(D180)</f>
        <v>0</v>
      </c>
      <c r="E179" s="215">
        <f>SUM(E180)</f>
        <v>1100</v>
      </c>
      <c r="F179" s="216">
        <f t="shared" si="4"/>
        <v>0</v>
      </c>
      <c r="G179" s="216">
        <f t="shared" si="5"/>
        <v>0</v>
      </c>
    </row>
    <row r="180" spans="1:7" ht="19.5" customHeight="1">
      <c r="A180" s="214" t="s">
        <v>317</v>
      </c>
      <c r="B180" s="215"/>
      <c r="C180" s="215"/>
      <c r="D180" s="215"/>
      <c r="E180" s="215">
        <v>1100</v>
      </c>
      <c r="F180" s="216">
        <f t="shared" si="4"/>
        <v>0</v>
      </c>
      <c r="G180" s="216">
        <f t="shared" si="5"/>
        <v>0</v>
      </c>
    </row>
    <row r="181" spans="1:7" ht="19.5" customHeight="1">
      <c r="A181" s="214" t="s">
        <v>318</v>
      </c>
      <c r="B181" s="215">
        <f>SUM(B182)</f>
        <v>168</v>
      </c>
      <c r="C181" s="215">
        <f>SUM(C182)</f>
        <v>197</v>
      </c>
      <c r="D181" s="215">
        <f>SUM(D182)</f>
        <v>197</v>
      </c>
      <c r="E181" s="215">
        <f>SUM(E182)</f>
        <v>82</v>
      </c>
      <c r="F181" s="216">
        <f t="shared" si="4"/>
        <v>117.26190476190477</v>
      </c>
      <c r="G181" s="216">
        <f t="shared" si="5"/>
        <v>100</v>
      </c>
    </row>
    <row r="182" spans="1:7" ht="19.5" customHeight="1">
      <c r="A182" s="214" t="s">
        <v>319</v>
      </c>
      <c r="B182" s="215">
        <v>168</v>
      </c>
      <c r="C182" s="215">
        <v>197</v>
      </c>
      <c r="D182" s="215">
        <v>197</v>
      </c>
      <c r="E182" s="215">
        <v>82</v>
      </c>
      <c r="F182" s="216">
        <f t="shared" si="4"/>
        <v>117.26190476190477</v>
      </c>
      <c r="G182" s="216">
        <f t="shared" si="5"/>
        <v>100</v>
      </c>
    </row>
    <row r="183" spans="1:7" ht="19.5" customHeight="1">
      <c r="A183" s="214" t="s">
        <v>320</v>
      </c>
      <c r="B183" s="215">
        <f>SUM(B184:B185)</f>
        <v>735</v>
      </c>
      <c r="C183" s="215">
        <f>SUM(C184:C185)</f>
        <v>903</v>
      </c>
      <c r="D183" s="215">
        <f>SUM(D184:D185)</f>
        <v>903</v>
      </c>
      <c r="E183" s="215">
        <f>SUM(E184:E185)</f>
        <v>896</v>
      </c>
      <c r="F183" s="216">
        <f t="shared" si="4"/>
        <v>122.85714285714286</v>
      </c>
      <c r="G183" s="216">
        <f t="shared" si="5"/>
        <v>100</v>
      </c>
    </row>
    <row r="184" spans="1:7" ht="19.5" customHeight="1">
      <c r="A184" s="214" t="s">
        <v>321</v>
      </c>
      <c r="B184" s="215">
        <v>672</v>
      </c>
      <c r="C184" s="215">
        <v>832</v>
      </c>
      <c r="D184" s="215">
        <v>832</v>
      </c>
      <c r="E184" s="215">
        <v>827</v>
      </c>
      <c r="F184" s="216">
        <f t="shared" si="4"/>
        <v>123.80952380952381</v>
      </c>
      <c r="G184" s="216">
        <f t="shared" si="5"/>
        <v>100</v>
      </c>
    </row>
    <row r="185" spans="1:7" ht="19.5" customHeight="1">
      <c r="A185" s="214" t="s">
        <v>322</v>
      </c>
      <c r="B185" s="215">
        <v>63</v>
      </c>
      <c r="C185" s="215">
        <v>71</v>
      </c>
      <c r="D185" s="215">
        <v>71</v>
      </c>
      <c r="E185" s="215">
        <v>69</v>
      </c>
      <c r="F185" s="216">
        <f t="shared" si="4"/>
        <v>112.6984126984127</v>
      </c>
      <c r="G185" s="216">
        <f t="shared" si="5"/>
        <v>100</v>
      </c>
    </row>
    <row r="186" spans="1:7" ht="19.5" customHeight="1">
      <c r="A186" s="214" t="s">
        <v>136</v>
      </c>
      <c r="B186" s="215">
        <f aca="true" t="shared" si="6" ref="B186:E187">SUM(B187)</f>
        <v>309</v>
      </c>
      <c r="C186" s="215">
        <f t="shared" si="6"/>
        <v>329</v>
      </c>
      <c r="D186" s="215">
        <f t="shared" si="6"/>
        <v>329</v>
      </c>
      <c r="E186" s="215">
        <f t="shared" si="6"/>
        <v>349</v>
      </c>
      <c r="F186" s="216">
        <f t="shared" si="4"/>
        <v>106.4724919093851</v>
      </c>
      <c r="G186" s="216">
        <f t="shared" si="5"/>
        <v>100</v>
      </c>
    </row>
    <row r="187" spans="1:7" ht="19.5" customHeight="1">
      <c r="A187" s="214" t="s">
        <v>323</v>
      </c>
      <c r="B187" s="215">
        <f t="shared" si="6"/>
        <v>309</v>
      </c>
      <c r="C187" s="215">
        <f t="shared" si="6"/>
        <v>329</v>
      </c>
      <c r="D187" s="215">
        <f t="shared" si="6"/>
        <v>329</v>
      </c>
      <c r="E187" s="215">
        <f t="shared" si="6"/>
        <v>349</v>
      </c>
      <c r="F187" s="216">
        <f t="shared" si="4"/>
        <v>106.4724919093851</v>
      </c>
      <c r="G187" s="216">
        <f t="shared" si="5"/>
        <v>100</v>
      </c>
    </row>
    <row r="188" spans="1:7" ht="19.5" customHeight="1">
      <c r="A188" s="214" t="s">
        <v>324</v>
      </c>
      <c r="B188" s="215">
        <v>309</v>
      </c>
      <c r="C188" s="215">
        <v>329</v>
      </c>
      <c r="D188" s="215">
        <v>329</v>
      </c>
      <c r="E188" s="215">
        <v>349</v>
      </c>
      <c r="F188" s="216">
        <f t="shared" si="4"/>
        <v>106.4724919093851</v>
      </c>
      <c r="G188" s="216">
        <f t="shared" si="5"/>
        <v>100</v>
      </c>
    </row>
    <row r="189" spans="1:7" ht="19.5" customHeight="1">
      <c r="A189" s="214" t="s">
        <v>325</v>
      </c>
      <c r="B189" s="215">
        <f>SUM(B190,B193)</f>
        <v>3093</v>
      </c>
      <c r="C189" s="215">
        <f>SUM(C190,C193)</f>
        <v>2268</v>
      </c>
      <c r="D189" s="215">
        <f>SUM(D190,D193)</f>
        <v>2268</v>
      </c>
      <c r="E189" s="215">
        <f>SUM(E190,E193)</f>
        <v>2399</v>
      </c>
      <c r="F189" s="216">
        <f t="shared" si="4"/>
        <v>73.32686711930165</v>
      </c>
      <c r="G189" s="216">
        <f t="shared" si="5"/>
        <v>100</v>
      </c>
    </row>
    <row r="190" spans="1:7" ht="19.5" customHeight="1">
      <c r="A190" s="214" t="s">
        <v>326</v>
      </c>
      <c r="B190" s="215">
        <f>SUM(B191:B192)</f>
        <v>2124</v>
      </c>
      <c r="C190" s="215">
        <f>SUM(C191:C192)</f>
        <v>2268</v>
      </c>
      <c r="D190" s="215">
        <f>SUM(D191:D192)</f>
        <v>2268</v>
      </c>
      <c r="E190" s="215">
        <f>SUM(E191:E192)</f>
        <v>2345</v>
      </c>
      <c r="F190" s="216">
        <f t="shared" si="4"/>
        <v>106.77966101694916</v>
      </c>
      <c r="G190" s="216">
        <f t="shared" si="5"/>
        <v>100</v>
      </c>
    </row>
    <row r="191" spans="1:7" ht="19.5" customHeight="1">
      <c r="A191" s="214" t="s">
        <v>327</v>
      </c>
      <c r="B191" s="215">
        <v>1100</v>
      </c>
      <c r="C191" s="215">
        <v>1263</v>
      </c>
      <c r="D191" s="215">
        <v>1263</v>
      </c>
      <c r="E191" s="215">
        <v>1322</v>
      </c>
      <c r="F191" s="216">
        <f t="shared" si="4"/>
        <v>114.81818181818181</v>
      </c>
      <c r="G191" s="216">
        <f t="shared" si="5"/>
        <v>100</v>
      </c>
    </row>
    <row r="192" spans="1:7" ht="19.5" customHeight="1">
      <c r="A192" s="214" t="s">
        <v>328</v>
      </c>
      <c r="B192" s="215">
        <v>1024</v>
      </c>
      <c r="C192" s="215">
        <v>1005</v>
      </c>
      <c r="D192" s="215">
        <v>1005</v>
      </c>
      <c r="E192" s="215">
        <v>1023</v>
      </c>
      <c r="F192" s="216">
        <f t="shared" si="4"/>
        <v>98.14453125</v>
      </c>
      <c r="G192" s="216">
        <f t="shared" si="5"/>
        <v>100</v>
      </c>
    </row>
    <row r="193" spans="1:7" ht="19.5" customHeight="1">
      <c r="A193" s="214" t="s">
        <v>329</v>
      </c>
      <c r="B193" s="215">
        <f>SUM(B194)</f>
        <v>969</v>
      </c>
      <c r="C193" s="215">
        <f>SUM(C194)</f>
        <v>0</v>
      </c>
      <c r="D193" s="215">
        <f>SUM(D194)</f>
        <v>0</v>
      </c>
      <c r="E193" s="215">
        <f>SUM(E194)</f>
        <v>54</v>
      </c>
      <c r="F193" s="216">
        <f t="shared" si="4"/>
        <v>0</v>
      </c>
      <c r="G193" s="216">
        <f t="shared" si="5"/>
        <v>0</v>
      </c>
    </row>
    <row r="194" spans="1:7" ht="19.5" customHeight="1">
      <c r="A194" s="214" t="s">
        <v>330</v>
      </c>
      <c r="B194" s="215">
        <v>969</v>
      </c>
      <c r="C194" s="215"/>
      <c r="D194" s="215"/>
      <c r="E194" s="215">
        <v>54</v>
      </c>
      <c r="F194" s="216">
        <f t="shared" si="4"/>
        <v>0</v>
      </c>
      <c r="G194" s="216">
        <f t="shared" si="5"/>
        <v>0</v>
      </c>
    </row>
    <row r="195" spans="1:7" ht="19.5" customHeight="1">
      <c r="A195" s="214" t="s">
        <v>144</v>
      </c>
      <c r="B195" s="215">
        <f>SUM(B196,B198)</f>
        <v>0</v>
      </c>
      <c r="C195" s="215">
        <f>SUM(C196,C198)</f>
        <v>0</v>
      </c>
      <c r="D195" s="215">
        <f>SUM(D196,D198)</f>
        <v>0</v>
      </c>
      <c r="E195" s="215">
        <f>SUM(E196,E198)</f>
        <v>0</v>
      </c>
      <c r="F195" s="216">
        <f t="shared" si="4"/>
        <v>0</v>
      </c>
      <c r="G195" s="216">
        <f t="shared" si="5"/>
        <v>0</v>
      </c>
    </row>
    <row r="196" spans="1:7" ht="19.5" customHeight="1">
      <c r="A196" s="214" t="s">
        <v>331</v>
      </c>
      <c r="B196" s="215">
        <f>SUM(B197)</f>
        <v>0</v>
      </c>
      <c r="C196" s="215">
        <f>SUM(C197)</f>
        <v>0</v>
      </c>
      <c r="D196" s="215">
        <f>SUM(D197)</f>
        <v>0</v>
      </c>
      <c r="E196" s="215">
        <f>SUM(E197)</f>
        <v>0</v>
      </c>
      <c r="F196" s="216">
        <f t="shared" si="4"/>
        <v>0</v>
      </c>
      <c r="G196" s="216">
        <f t="shared" si="5"/>
        <v>0</v>
      </c>
    </row>
    <row r="197" spans="1:7" ht="19.5" customHeight="1">
      <c r="A197" s="214" t="s">
        <v>332</v>
      </c>
      <c r="B197" s="215"/>
      <c r="C197" s="215"/>
      <c r="D197" s="215"/>
      <c r="E197" s="215"/>
      <c r="F197" s="216">
        <f t="shared" si="4"/>
        <v>0</v>
      </c>
      <c r="G197" s="216">
        <f t="shared" si="5"/>
        <v>0</v>
      </c>
    </row>
    <row r="198" spans="1:7" ht="19.5" customHeight="1">
      <c r="A198" s="214" t="s">
        <v>333</v>
      </c>
      <c r="B198" s="215">
        <f>SUM(B199)</f>
        <v>0</v>
      </c>
      <c r="C198" s="215">
        <f>SUM(C199)</f>
        <v>0</v>
      </c>
      <c r="D198" s="215">
        <f>SUM(D199)</f>
        <v>0</v>
      </c>
      <c r="E198" s="215">
        <f>SUM(E199)</f>
        <v>0</v>
      </c>
      <c r="F198" s="216">
        <f t="shared" si="4"/>
        <v>0</v>
      </c>
      <c r="G198" s="216">
        <f t="shared" si="5"/>
        <v>0</v>
      </c>
    </row>
    <row r="199" spans="1:7" ht="19.5" customHeight="1">
      <c r="A199" s="214" t="s">
        <v>334</v>
      </c>
      <c r="B199" s="215"/>
      <c r="C199" s="215"/>
      <c r="D199" s="215"/>
      <c r="E199" s="215"/>
      <c r="F199" s="216">
        <f t="shared" si="4"/>
        <v>0</v>
      </c>
      <c r="G199" s="216">
        <f t="shared" si="5"/>
        <v>0</v>
      </c>
    </row>
    <row r="200" spans="1:7" ht="19.5" customHeight="1">
      <c r="A200" s="251" t="s">
        <v>335</v>
      </c>
      <c r="B200" s="215"/>
      <c r="C200" s="215">
        <v>1251</v>
      </c>
      <c r="D200" s="215">
        <v>1251</v>
      </c>
      <c r="E200" s="215"/>
      <c r="F200" s="216"/>
      <c r="G200" s="216"/>
    </row>
    <row r="201" spans="1:7" ht="19.5" customHeight="1">
      <c r="A201" s="214" t="s">
        <v>336</v>
      </c>
      <c r="B201" s="215"/>
      <c r="C201" s="215">
        <v>1251</v>
      </c>
      <c r="D201" s="215">
        <v>1251</v>
      </c>
      <c r="E201" s="215"/>
      <c r="F201" s="216"/>
      <c r="G201" s="216"/>
    </row>
    <row r="202" spans="1:7" ht="19.5" customHeight="1">
      <c r="A202" s="247" t="s">
        <v>337</v>
      </c>
      <c r="B202" s="215"/>
      <c r="C202" s="215">
        <v>1251</v>
      </c>
      <c r="D202" s="215">
        <v>1251</v>
      </c>
      <c r="E202" s="215"/>
      <c r="F202" s="216"/>
      <c r="G202" s="216"/>
    </row>
    <row r="203" spans="1:7" ht="19.5" customHeight="1">
      <c r="A203" s="214" t="s">
        <v>139</v>
      </c>
      <c r="B203" s="215">
        <f>SUM(B204)</f>
        <v>50430.572</v>
      </c>
      <c r="C203" s="215">
        <f>SUM(C204)</f>
        <v>15152</v>
      </c>
      <c r="D203" s="215">
        <f>SUM(D204)</f>
        <v>0</v>
      </c>
      <c r="E203" s="215"/>
      <c r="F203" s="216">
        <f t="shared" si="4"/>
        <v>0</v>
      </c>
      <c r="G203" s="216">
        <f t="shared" si="5"/>
        <v>0</v>
      </c>
    </row>
    <row r="204" spans="1:7" ht="19.5" customHeight="1">
      <c r="A204" s="214" t="s">
        <v>338</v>
      </c>
      <c r="B204" s="215">
        <f>50425.79+8.892-4.11</f>
        <v>50430.572</v>
      </c>
      <c r="C204" s="215">
        <v>15152</v>
      </c>
      <c r="D204" s="215">
        <v>0</v>
      </c>
      <c r="E204" s="215"/>
      <c r="F204" s="216">
        <f t="shared" si="4"/>
        <v>0</v>
      </c>
      <c r="G204" s="216">
        <f t="shared" si="5"/>
        <v>0</v>
      </c>
    </row>
    <row r="205" spans="1:7" ht="19.5" customHeight="1">
      <c r="A205" s="246" t="s">
        <v>339</v>
      </c>
      <c r="B205" s="215">
        <f>SUM(B206,B294,B323,B351,B377,B404,B475,B521,B545,B562,B605,B617,B634,B647,B650,B655,B668,B677,B691,B695,B699,B702)</f>
        <v>290428</v>
      </c>
      <c r="C205" s="215">
        <f>SUM(C206,C292,C294,C323,C351,C377,C404,C475,C521,C545,C562,C605,C617,C634,C647,C650,C655,C668,C677,C691,C695,C699,C702)-1</f>
        <v>554907.72</v>
      </c>
      <c r="D205" s="215">
        <f>SUM(D206,D292,D294,D323,D351,D377,D404,D475,D521,D545,D562,D605,D617,D634,D647,D650,D655,D668,D677,D691,D695,D699,D702)</f>
        <v>449739</v>
      </c>
      <c r="E205" s="215">
        <f>SUM(E206,E294,E323,E351,E377,E404,E475,E521,E545,E562,E605,E617,E634,E647,E650,E655,E668,E691,E695,E699,E702)</f>
        <v>415646</v>
      </c>
      <c r="F205" s="216">
        <f t="shared" si="4"/>
        <v>154.85387083889984</v>
      </c>
      <c r="G205" s="216">
        <f t="shared" si="5"/>
        <v>81.04752984874675</v>
      </c>
    </row>
    <row r="206" spans="1:7" ht="19.5" customHeight="1">
      <c r="A206" s="221" t="s">
        <v>82</v>
      </c>
      <c r="B206" s="215">
        <f>SUM(B207,B211,B214,B221,B224,B230,B233,B235,B237,B240,B245,B249,B253,B256,B259,B262,B264,B267,B269,B272,B275,B277,B279,B281,B283,B285,B290)</f>
        <v>22764</v>
      </c>
      <c r="C206" s="215">
        <f>SUM(C207,C211,C214,C221,C224,C230,C233,C235,C237,C240,C245,C249,C253,C256,C259,C262,C264,C267,C269,C272,C275,C277,C279,C281,C283,C285,C290)</f>
        <v>36702.72</v>
      </c>
      <c r="D206" s="215">
        <f>SUM(D207,D211,D214,D221,D224,D230,D233,D235,D237,D240,D245,D249,D253,D256,D259,D262,D264,D267,D269,D272,D275,D277,D279,D281,D283,D285,D290)+1</f>
        <v>36224</v>
      </c>
      <c r="E206" s="215">
        <f>SUM(E207,E211,E214,E221,E224,E230,E233,E235,E237,E240,E245,E249,E253,E256,E259,E262,E264,E267,E269,E272,E275,E277,E279,E290)</f>
        <v>19588</v>
      </c>
      <c r="F206" s="216">
        <f t="shared" si="4"/>
        <v>159.12844842734143</v>
      </c>
      <c r="G206" s="216">
        <f t="shared" si="5"/>
        <v>98.69568249982562</v>
      </c>
    </row>
    <row r="207" spans="1:7" ht="19.5" customHeight="1">
      <c r="A207" s="221" t="s">
        <v>340</v>
      </c>
      <c r="B207" s="215">
        <f>SUM(B208:B210)</f>
        <v>152</v>
      </c>
      <c r="C207" s="215">
        <f>SUM(C208:C210)</f>
        <v>110.44</v>
      </c>
      <c r="D207" s="215">
        <f>SUM(D208:D210)</f>
        <v>110</v>
      </c>
      <c r="E207" s="215">
        <f>SUM(E208:E210)</f>
        <v>112</v>
      </c>
      <c r="F207" s="216">
        <f t="shared" si="4"/>
        <v>72.36842105263158</v>
      </c>
      <c r="G207" s="216">
        <f t="shared" si="5"/>
        <v>99.60159362549801</v>
      </c>
    </row>
    <row r="208" spans="1:7" ht="19.5" customHeight="1">
      <c r="A208" s="221" t="s">
        <v>341</v>
      </c>
      <c r="B208" s="215">
        <v>23</v>
      </c>
      <c r="C208" s="215">
        <v>8.2</v>
      </c>
      <c r="D208" s="215">
        <v>8</v>
      </c>
      <c r="E208" s="215">
        <v>7</v>
      </c>
      <c r="F208" s="216">
        <f t="shared" si="4"/>
        <v>34.78260869565217</v>
      </c>
      <c r="G208" s="216">
        <f t="shared" si="5"/>
        <v>97.56097560975611</v>
      </c>
    </row>
    <row r="209" spans="1:7" ht="19.5" customHeight="1">
      <c r="A209" s="221" t="s">
        <v>342</v>
      </c>
      <c r="B209" s="215">
        <v>70</v>
      </c>
      <c r="C209" s="215">
        <v>53.44</v>
      </c>
      <c r="D209" s="215">
        <v>53</v>
      </c>
      <c r="E209" s="215">
        <v>70</v>
      </c>
      <c r="F209" s="216">
        <f t="shared" si="4"/>
        <v>75.71428571428571</v>
      </c>
      <c r="G209" s="216">
        <f t="shared" si="5"/>
        <v>99.17664670658684</v>
      </c>
    </row>
    <row r="210" spans="1:7" ht="19.5" customHeight="1">
      <c r="A210" s="221" t="s">
        <v>343</v>
      </c>
      <c r="B210" s="215">
        <v>59</v>
      </c>
      <c r="C210" s="215">
        <v>48.8</v>
      </c>
      <c r="D210" s="215">
        <v>49</v>
      </c>
      <c r="E210" s="215">
        <v>35</v>
      </c>
      <c r="F210" s="216">
        <f t="shared" si="4"/>
        <v>83.05084745762711</v>
      </c>
      <c r="G210" s="216">
        <f t="shared" si="5"/>
        <v>100.40983606557377</v>
      </c>
    </row>
    <row r="211" spans="1:7" ht="19.5" customHeight="1">
      <c r="A211" s="221" t="s">
        <v>344</v>
      </c>
      <c r="B211" s="215">
        <f>SUM(B212:B213)</f>
        <v>99</v>
      </c>
      <c r="C211" s="215">
        <f>SUM(C212:C213)</f>
        <v>69.21000000000001</v>
      </c>
      <c r="D211" s="215">
        <f>SUM(D212:D213)</f>
        <v>69</v>
      </c>
      <c r="E211" s="215">
        <f>SUM(E212:E213)</f>
        <v>73</v>
      </c>
      <c r="F211" s="216">
        <f t="shared" si="4"/>
        <v>69.6969696969697</v>
      </c>
      <c r="G211" s="216">
        <f t="shared" si="5"/>
        <v>99.69657563935847</v>
      </c>
    </row>
    <row r="212" spans="1:7" ht="19.5" customHeight="1">
      <c r="A212" s="221" t="s">
        <v>345</v>
      </c>
      <c r="B212" s="215">
        <v>52</v>
      </c>
      <c r="C212" s="215">
        <v>41</v>
      </c>
      <c r="D212" s="215">
        <v>41</v>
      </c>
      <c r="E212" s="215">
        <v>45</v>
      </c>
      <c r="F212" s="216">
        <f t="shared" si="4"/>
        <v>78.84615384615384</v>
      </c>
      <c r="G212" s="216">
        <f t="shared" si="5"/>
        <v>100</v>
      </c>
    </row>
    <row r="213" spans="1:7" ht="19.5" customHeight="1">
      <c r="A213" s="221" t="s">
        <v>346</v>
      </c>
      <c r="B213" s="215">
        <v>47</v>
      </c>
      <c r="C213" s="215">
        <v>28.21</v>
      </c>
      <c r="D213" s="215">
        <v>28</v>
      </c>
      <c r="E213" s="215">
        <v>28</v>
      </c>
      <c r="F213" s="216">
        <f t="shared" si="4"/>
        <v>59.57446808510638</v>
      </c>
      <c r="G213" s="216">
        <f t="shared" si="5"/>
        <v>99.25558312655086</v>
      </c>
    </row>
    <row r="214" spans="1:7" ht="19.5" customHeight="1">
      <c r="A214" s="221" t="s">
        <v>347</v>
      </c>
      <c r="B214" s="215">
        <f>SUM(B215:B220)</f>
        <v>5741</v>
      </c>
      <c r="C214" s="215">
        <f>SUM(C215:C220)</f>
        <v>6948</v>
      </c>
      <c r="D214" s="215">
        <f>SUM(D215:D220)</f>
        <v>6724</v>
      </c>
      <c r="E214" s="215">
        <f>SUM(E215:E220)</f>
        <v>3761</v>
      </c>
      <c r="F214" s="216">
        <f t="shared" si="4"/>
        <v>117.12245253440167</v>
      </c>
      <c r="G214" s="216">
        <f t="shared" si="5"/>
        <v>96.77605066206102</v>
      </c>
    </row>
    <row r="215" spans="1:7" ht="19.5" customHeight="1">
      <c r="A215" s="221" t="s">
        <v>348</v>
      </c>
      <c r="B215" s="215">
        <v>4</v>
      </c>
      <c r="C215" s="215">
        <v>70</v>
      </c>
      <c r="D215" s="215">
        <v>70</v>
      </c>
      <c r="E215" s="215"/>
      <c r="F215" s="216">
        <f t="shared" si="4"/>
        <v>1750</v>
      </c>
      <c r="G215" s="216">
        <f t="shared" si="5"/>
        <v>100</v>
      </c>
    </row>
    <row r="216" spans="1:7" ht="19.5" customHeight="1">
      <c r="A216" s="221" t="s">
        <v>349</v>
      </c>
      <c r="B216" s="215">
        <v>5304</v>
      </c>
      <c r="C216" s="215">
        <v>6420</v>
      </c>
      <c r="D216" s="215">
        <f>6193+2</f>
        <v>6195</v>
      </c>
      <c r="E216" s="215">
        <f>3544-3</f>
        <v>3541</v>
      </c>
      <c r="F216" s="216">
        <f t="shared" si="4"/>
        <v>116.79864253393666</v>
      </c>
      <c r="G216" s="216">
        <f t="shared" si="5"/>
        <v>96.49532710280374</v>
      </c>
    </row>
    <row r="217" spans="1:7" ht="19.5" customHeight="1">
      <c r="A217" s="221" t="s">
        <v>350</v>
      </c>
      <c r="B217" s="215"/>
      <c r="C217" s="215">
        <v>10</v>
      </c>
      <c r="D217" s="252">
        <v>10</v>
      </c>
      <c r="E217" s="215"/>
      <c r="F217" s="216"/>
      <c r="G217" s="216"/>
    </row>
    <row r="218" spans="1:7" ht="19.5" customHeight="1">
      <c r="A218" s="221" t="s">
        <v>351</v>
      </c>
      <c r="B218" s="215">
        <v>10</v>
      </c>
      <c r="C218" s="215"/>
      <c r="D218" s="215"/>
      <c r="E218" s="215">
        <v>40</v>
      </c>
      <c r="F218" s="216">
        <f>IF(B218=0,0,D218/B218*100)</f>
        <v>0</v>
      </c>
      <c r="G218" s="216">
        <f>IF(D218=0,0,D218/C218*100)</f>
        <v>0</v>
      </c>
    </row>
    <row r="219" spans="1:7" ht="19.5" customHeight="1">
      <c r="A219" s="221" t="s">
        <v>352</v>
      </c>
      <c r="B219" s="215">
        <v>423</v>
      </c>
      <c r="C219" s="215">
        <v>448</v>
      </c>
      <c r="D219" s="215">
        <v>449</v>
      </c>
      <c r="E219" s="215">
        <v>180</v>
      </c>
      <c r="F219" s="216">
        <f t="shared" si="4"/>
        <v>106.14657210401892</v>
      </c>
      <c r="G219" s="216">
        <f t="shared" si="5"/>
        <v>100.22321428571428</v>
      </c>
    </row>
    <row r="220" spans="1:7" ht="19.5" customHeight="1">
      <c r="A220" s="221" t="s">
        <v>353</v>
      </c>
      <c r="B220" s="215"/>
      <c r="C220" s="215"/>
      <c r="D220" s="215"/>
      <c r="E220" s="215"/>
      <c r="F220" s="216">
        <f t="shared" si="4"/>
        <v>0</v>
      </c>
      <c r="G220" s="216">
        <f t="shared" si="5"/>
        <v>0</v>
      </c>
    </row>
    <row r="221" spans="1:7" ht="19.5" customHeight="1">
      <c r="A221" s="221" t="s">
        <v>354</v>
      </c>
      <c r="B221" s="215">
        <f>SUM(B222:B223)</f>
        <v>156</v>
      </c>
      <c r="C221" s="215">
        <f>SUM(C222:C223)</f>
        <v>482.43</v>
      </c>
      <c r="D221" s="215">
        <f>SUM(D222:D223)</f>
        <v>482</v>
      </c>
      <c r="E221" s="215">
        <f>SUM(E222:E223)</f>
        <v>447</v>
      </c>
      <c r="F221" s="216">
        <f t="shared" si="4"/>
        <v>308.974358974359</v>
      </c>
      <c r="G221" s="216">
        <f t="shared" si="5"/>
        <v>99.91086789793337</v>
      </c>
    </row>
    <row r="222" spans="1:7" ht="19.5" customHeight="1">
      <c r="A222" s="221" t="s">
        <v>355</v>
      </c>
      <c r="B222" s="215">
        <v>76</v>
      </c>
      <c r="C222" s="215">
        <v>402.43</v>
      </c>
      <c r="D222" s="215">
        <v>402</v>
      </c>
      <c r="E222" s="215">
        <v>366</v>
      </c>
      <c r="F222" s="216">
        <f aca="true" t="shared" si="7" ref="F222:F308">IF(B222=0,0,D222/B222*100)</f>
        <v>528.9473684210526</v>
      </c>
      <c r="G222" s="216">
        <f aca="true" t="shared" si="8" ref="G222:G308">IF(D222=0,0,D222/C222*100)</f>
        <v>99.89314911910145</v>
      </c>
    </row>
    <row r="223" spans="1:7" ht="19.5" customHeight="1">
      <c r="A223" s="221" t="s">
        <v>356</v>
      </c>
      <c r="B223" s="215">
        <v>80</v>
      </c>
      <c r="C223" s="215">
        <v>80</v>
      </c>
      <c r="D223" s="215">
        <v>80</v>
      </c>
      <c r="E223" s="215">
        <v>81</v>
      </c>
      <c r="F223" s="216">
        <f t="shared" si="7"/>
        <v>100</v>
      </c>
      <c r="G223" s="216">
        <f t="shared" si="8"/>
        <v>100</v>
      </c>
    </row>
    <row r="224" spans="1:7" ht="19.5" customHeight="1">
      <c r="A224" s="221" t="s">
        <v>357</v>
      </c>
      <c r="B224" s="215">
        <f>SUM(B225:B229)</f>
        <v>170</v>
      </c>
      <c r="C224" s="215">
        <f>SUM(C225:C229)</f>
        <v>157.85999999999999</v>
      </c>
      <c r="D224" s="215">
        <f>SUM(D225:D229)</f>
        <v>158</v>
      </c>
      <c r="E224" s="215">
        <f>SUM(E225:E229)</f>
        <v>220</v>
      </c>
      <c r="F224" s="216">
        <f t="shared" si="7"/>
        <v>92.94117647058823</v>
      </c>
      <c r="G224" s="216">
        <f t="shared" si="8"/>
        <v>100.08868617762576</v>
      </c>
    </row>
    <row r="225" spans="1:7" ht="19.5" customHeight="1">
      <c r="A225" s="221" t="s">
        <v>358</v>
      </c>
      <c r="B225" s="215">
        <v>25</v>
      </c>
      <c r="C225" s="215">
        <v>25.2</v>
      </c>
      <c r="D225" s="215">
        <v>25</v>
      </c>
      <c r="E225" s="215">
        <v>25</v>
      </c>
      <c r="F225" s="216">
        <f t="shared" si="7"/>
        <v>100</v>
      </c>
      <c r="G225" s="216">
        <f t="shared" si="8"/>
        <v>99.20634920634922</v>
      </c>
    </row>
    <row r="226" spans="1:7" ht="19.5" customHeight="1">
      <c r="A226" s="221" t="s">
        <v>359</v>
      </c>
      <c r="B226" s="215"/>
      <c r="C226" s="215"/>
      <c r="D226" s="215"/>
      <c r="E226" s="215">
        <v>40</v>
      </c>
      <c r="F226" s="216">
        <f t="shared" si="7"/>
        <v>0</v>
      </c>
      <c r="G226" s="216">
        <f t="shared" si="8"/>
        <v>0</v>
      </c>
    </row>
    <row r="227" spans="1:7" ht="19.5" customHeight="1">
      <c r="A227" s="221" t="s">
        <v>360</v>
      </c>
      <c r="B227" s="215">
        <v>17</v>
      </c>
      <c r="C227" s="215">
        <v>15.97</v>
      </c>
      <c r="D227" s="215">
        <v>16</v>
      </c>
      <c r="E227" s="215">
        <v>6</v>
      </c>
      <c r="F227" s="216">
        <f t="shared" si="7"/>
        <v>94.11764705882352</v>
      </c>
      <c r="G227" s="216">
        <f t="shared" si="8"/>
        <v>100.18785222291797</v>
      </c>
    </row>
    <row r="228" spans="1:7" ht="19.5" customHeight="1">
      <c r="A228" s="221" t="s">
        <v>361</v>
      </c>
      <c r="B228" s="215">
        <v>68</v>
      </c>
      <c r="C228" s="215">
        <v>58.9</v>
      </c>
      <c r="D228" s="215">
        <v>59</v>
      </c>
      <c r="E228" s="215">
        <v>98</v>
      </c>
      <c r="F228" s="216">
        <f t="shared" si="7"/>
        <v>86.76470588235294</v>
      </c>
      <c r="G228" s="216">
        <f t="shared" si="8"/>
        <v>100.16977928692701</v>
      </c>
    </row>
    <row r="229" spans="1:7" ht="19.5" customHeight="1">
      <c r="A229" s="221" t="s">
        <v>362</v>
      </c>
      <c r="B229" s="215">
        <v>60</v>
      </c>
      <c r="C229" s="215">
        <v>57.79</v>
      </c>
      <c r="D229" s="215">
        <v>58</v>
      </c>
      <c r="E229" s="215">
        <v>51</v>
      </c>
      <c r="F229" s="216">
        <f t="shared" si="7"/>
        <v>96.66666666666667</v>
      </c>
      <c r="G229" s="216">
        <f t="shared" si="8"/>
        <v>100.3633846686278</v>
      </c>
    </row>
    <row r="230" spans="1:7" ht="19.5" customHeight="1">
      <c r="A230" s="221" t="s">
        <v>363</v>
      </c>
      <c r="B230" s="215">
        <f>SUM(B231:B232)</f>
        <v>763</v>
      </c>
      <c r="C230" s="215">
        <f>SUM(C231:C232)</f>
        <v>423.34000000000003</v>
      </c>
      <c r="D230" s="215">
        <f>SUM(D231:D232)</f>
        <v>423</v>
      </c>
      <c r="E230" s="215">
        <f>SUM(E231:E232)</f>
        <v>0</v>
      </c>
      <c r="F230" s="216">
        <f t="shared" si="7"/>
        <v>55.43905635648755</v>
      </c>
      <c r="G230" s="216">
        <f t="shared" si="8"/>
        <v>99.91968630415269</v>
      </c>
    </row>
    <row r="231" spans="1:7" ht="19.5" customHeight="1">
      <c r="A231" s="221" t="s">
        <v>364</v>
      </c>
      <c r="B231" s="215">
        <v>619</v>
      </c>
      <c r="C231" s="215">
        <v>259</v>
      </c>
      <c r="D231" s="215">
        <v>259</v>
      </c>
      <c r="E231" s="215"/>
      <c r="F231" s="216">
        <v>249</v>
      </c>
      <c r="G231" s="216">
        <f t="shared" si="8"/>
        <v>100</v>
      </c>
    </row>
    <row r="232" spans="1:7" ht="19.5" customHeight="1">
      <c r="A232" s="221" t="s">
        <v>365</v>
      </c>
      <c r="B232" s="215">
        <v>144</v>
      </c>
      <c r="C232" s="215">
        <v>164.34</v>
      </c>
      <c r="D232" s="215">
        <v>164</v>
      </c>
      <c r="E232" s="215"/>
      <c r="F232" s="216">
        <f>IF(B232=0,0,D232/B232*100)</f>
        <v>113.88888888888889</v>
      </c>
      <c r="G232" s="216">
        <f t="shared" si="8"/>
        <v>99.79311184130461</v>
      </c>
    </row>
    <row r="233" spans="1:7" ht="19.5" customHeight="1">
      <c r="A233" s="221" t="s">
        <v>366</v>
      </c>
      <c r="B233" s="215">
        <f>SUM(B234)</f>
        <v>2051</v>
      </c>
      <c r="C233" s="215">
        <f>SUM(C234)</f>
        <v>3220.9</v>
      </c>
      <c r="D233" s="215">
        <f>SUM(D234)</f>
        <v>3221</v>
      </c>
      <c r="E233" s="215">
        <f>SUM(E234)</f>
        <v>3059</v>
      </c>
      <c r="F233" s="216">
        <f t="shared" si="7"/>
        <v>157.04534373476352</v>
      </c>
      <c r="G233" s="216">
        <f t="shared" si="8"/>
        <v>100.0031047222826</v>
      </c>
    </row>
    <row r="234" spans="1:7" ht="19.5" customHeight="1">
      <c r="A234" s="221" t="s">
        <v>367</v>
      </c>
      <c r="B234" s="215">
        <v>2051</v>
      </c>
      <c r="C234" s="215">
        <v>3220.9</v>
      </c>
      <c r="D234" s="215">
        <v>3221</v>
      </c>
      <c r="E234" s="215">
        <v>3059</v>
      </c>
      <c r="F234" s="216">
        <f t="shared" si="7"/>
        <v>157.04534373476352</v>
      </c>
      <c r="G234" s="216">
        <f t="shared" si="8"/>
        <v>100.0031047222826</v>
      </c>
    </row>
    <row r="235" spans="1:7" ht="19.5" customHeight="1">
      <c r="A235" s="221" t="s">
        <v>368</v>
      </c>
      <c r="B235" s="215">
        <f>SUM(B236)</f>
        <v>116</v>
      </c>
      <c r="C235" s="215">
        <f>SUM(C236)</f>
        <v>169.03</v>
      </c>
      <c r="D235" s="215">
        <f>SUM(D236)</f>
        <v>169</v>
      </c>
      <c r="E235" s="215">
        <f>SUM(E236)</f>
        <v>140</v>
      </c>
      <c r="F235" s="216">
        <f t="shared" si="7"/>
        <v>145.68965517241378</v>
      </c>
      <c r="G235" s="216">
        <f t="shared" si="8"/>
        <v>99.98225167130094</v>
      </c>
    </row>
    <row r="236" spans="1:7" ht="19.5" customHeight="1">
      <c r="A236" s="221" t="s">
        <v>369</v>
      </c>
      <c r="B236" s="215">
        <v>116</v>
      </c>
      <c r="C236" s="215">
        <v>169.03</v>
      </c>
      <c r="D236" s="215">
        <v>169</v>
      </c>
      <c r="E236" s="215">
        <v>140</v>
      </c>
      <c r="F236" s="216">
        <f t="shared" si="7"/>
        <v>145.68965517241378</v>
      </c>
      <c r="G236" s="216">
        <f t="shared" si="8"/>
        <v>99.98225167130094</v>
      </c>
    </row>
    <row r="237" spans="1:7" ht="19.5" customHeight="1">
      <c r="A237" s="221" t="s">
        <v>370</v>
      </c>
      <c r="B237" s="215">
        <f>SUM(B238:B239)</f>
        <v>266</v>
      </c>
      <c r="C237" s="215">
        <f>SUM(C238:C239)</f>
        <v>265.7</v>
      </c>
      <c r="D237" s="215">
        <f>SUM(D238:D239)</f>
        <v>266</v>
      </c>
      <c r="E237" s="215">
        <f>SUM(E238:E239)</f>
        <v>62</v>
      </c>
      <c r="F237" s="216">
        <f t="shared" si="7"/>
        <v>100</v>
      </c>
      <c r="G237" s="216">
        <f t="shared" si="8"/>
        <v>100.11290929619872</v>
      </c>
    </row>
    <row r="238" spans="1:7" ht="19.5" customHeight="1">
      <c r="A238" s="221" t="s">
        <v>371</v>
      </c>
      <c r="B238" s="215">
        <v>133</v>
      </c>
      <c r="C238" s="215">
        <v>132.85</v>
      </c>
      <c r="D238" s="215">
        <v>133</v>
      </c>
      <c r="E238" s="215">
        <v>62</v>
      </c>
      <c r="F238" s="216">
        <f t="shared" si="7"/>
        <v>100</v>
      </c>
      <c r="G238" s="216">
        <f t="shared" si="8"/>
        <v>100.11290929619872</v>
      </c>
    </row>
    <row r="239" spans="1:7" ht="19.5" customHeight="1">
      <c r="A239" s="221" t="s">
        <v>372</v>
      </c>
      <c r="B239" s="215">
        <v>133</v>
      </c>
      <c r="C239" s="215">
        <v>132.85</v>
      </c>
      <c r="D239" s="215">
        <v>133</v>
      </c>
      <c r="E239" s="215"/>
      <c r="F239" s="216">
        <f t="shared" si="7"/>
        <v>100</v>
      </c>
      <c r="G239" s="216">
        <f t="shared" si="8"/>
        <v>100.11290929619872</v>
      </c>
    </row>
    <row r="240" spans="1:7" ht="19.5" customHeight="1">
      <c r="A240" s="221" t="s">
        <v>373</v>
      </c>
      <c r="B240" s="215">
        <f>SUM(B241:B244)</f>
        <v>206</v>
      </c>
      <c r="C240" s="215">
        <f>SUM(C241:C244)</f>
        <v>15.44</v>
      </c>
      <c r="D240" s="215">
        <f>SUM(D241:D244)</f>
        <v>15</v>
      </c>
      <c r="E240" s="215">
        <f>SUM(E241:E244)</f>
        <v>187</v>
      </c>
      <c r="F240" s="216">
        <f t="shared" si="7"/>
        <v>7.281553398058252</v>
      </c>
      <c r="G240" s="216">
        <f t="shared" si="8"/>
        <v>97.15025906735751</v>
      </c>
    </row>
    <row r="241" spans="1:7" ht="19.5" customHeight="1">
      <c r="A241" s="221" t="s">
        <v>374</v>
      </c>
      <c r="B241" s="215">
        <v>206</v>
      </c>
      <c r="C241" s="215">
        <v>15.44</v>
      </c>
      <c r="D241" s="215">
        <v>15</v>
      </c>
      <c r="E241" s="215">
        <v>49</v>
      </c>
      <c r="F241" s="216">
        <f t="shared" si="7"/>
        <v>7.281553398058252</v>
      </c>
      <c r="G241" s="216">
        <f t="shared" si="8"/>
        <v>97.15025906735751</v>
      </c>
    </row>
    <row r="242" spans="1:7" ht="19.5" customHeight="1">
      <c r="A242" s="221" t="s">
        <v>375</v>
      </c>
      <c r="B242" s="215"/>
      <c r="C242" s="215"/>
      <c r="D242" s="215"/>
      <c r="E242" s="215">
        <v>45</v>
      </c>
      <c r="F242" s="216">
        <f t="shared" si="7"/>
        <v>0</v>
      </c>
      <c r="G242" s="216">
        <f t="shared" si="8"/>
        <v>0</v>
      </c>
    </row>
    <row r="243" spans="1:7" ht="19.5" customHeight="1">
      <c r="A243" s="221" t="s">
        <v>376</v>
      </c>
      <c r="B243" s="215"/>
      <c r="C243" s="215"/>
      <c r="D243" s="215"/>
      <c r="E243" s="215">
        <v>91</v>
      </c>
      <c r="F243" s="216">
        <f t="shared" si="7"/>
        <v>0</v>
      </c>
      <c r="G243" s="216">
        <f t="shared" si="8"/>
        <v>0</v>
      </c>
    </row>
    <row r="244" spans="1:7" ht="19.5" customHeight="1">
      <c r="A244" s="221" t="s">
        <v>377</v>
      </c>
      <c r="B244" s="215"/>
      <c r="C244" s="215"/>
      <c r="D244" s="215"/>
      <c r="E244" s="215">
        <v>2</v>
      </c>
      <c r="F244" s="216">
        <f t="shared" si="7"/>
        <v>0</v>
      </c>
      <c r="G244" s="216">
        <f t="shared" si="8"/>
        <v>0</v>
      </c>
    </row>
    <row r="245" spans="1:7" ht="19.5" customHeight="1">
      <c r="A245" s="221" t="s">
        <v>378</v>
      </c>
      <c r="B245" s="215">
        <f>SUM(B246:B248)</f>
        <v>476</v>
      </c>
      <c r="C245" s="215">
        <f>SUM(C246:C248)</f>
        <v>1029</v>
      </c>
      <c r="D245" s="215">
        <f>SUM(D246:D248)</f>
        <v>1029</v>
      </c>
      <c r="E245" s="215">
        <f>SUM(E247)</f>
        <v>1282</v>
      </c>
      <c r="F245" s="216">
        <f t="shared" si="7"/>
        <v>216.17647058823528</v>
      </c>
      <c r="G245" s="216">
        <f t="shared" si="8"/>
        <v>100</v>
      </c>
    </row>
    <row r="246" spans="1:7" ht="19.5" customHeight="1">
      <c r="A246" s="221" t="s">
        <v>379</v>
      </c>
      <c r="B246" s="215"/>
      <c r="C246" s="215">
        <v>4</v>
      </c>
      <c r="D246" s="215">
        <v>4</v>
      </c>
      <c r="E246" s="215"/>
      <c r="F246" s="216"/>
      <c r="G246" s="216"/>
    </row>
    <row r="247" spans="1:7" ht="19.5" customHeight="1">
      <c r="A247" s="221" t="s">
        <v>380</v>
      </c>
      <c r="B247" s="215">
        <v>476</v>
      </c>
      <c r="C247" s="215">
        <v>976</v>
      </c>
      <c r="D247" s="215">
        <v>976</v>
      </c>
      <c r="E247" s="215">
        <v>1282</v>
      </c>
      <c r="F247" s="216">
        <f t="shared" si="7"/>
        <v>205.04201680672267</v>
      </c>
      <c r="G247" s="216">
        <f t="shared" si="8"/>
        <v>100</v>
      </c>
    </row>
    <row r="248" spans="1:7" ht="19.5" customHeight="1">
      <c r="A248" s="221" t="s">
        <v>381</v>
      </c>
      <c r="B248" s="215"/>
      <c r="C248" s="215">
        <v>49</v>
      </c>
      <c r="D248" s="215">
        <v>49</v>
      </c>
      <c r="E248" s="215"/>
      <c r="F248" s="216"/>
      <c r="G248" s="216"/>
    </row>
    <row r="249" spans="1:7" ht="19.5" customHeight="1">
      <c r="A249" s="221" t="s">
        <v>382</v>
      </c>
      <c r="B249" s="215">
        <f>SUM(B250:B252)</f>
        <v>345</v>
      </c>
      <c r="C249" s="215">
        <f>SUM(C250:C252)</f>
        <v>545</v>
      </c>
      <c r="D249" s="215">
        <f>SUM(D250:D252)</f>
        <v>545</v>
      </c>
      <c r="E249" s="215">
        <f>SUM(E250:E252)</f>
        <v>379</v>
      </c>
      <c r="F249" s="216">
        <f t="shared" si="7"/>
        <v>157.97101449275362</v>
      </c>
      <c r="G249" s="216">
        <f t="shared" si="8"/>
        <v>100</v>
      </c>
    </row>
    <row r="250" spans="1:7" ht="19.5" customHeight="1">
      <c r="A250" s="221" t="s">
        <v>383</v>
      </c>
      <c r="B250" s="215">
        <v>34</v>
      </c>
      <c r="C250" s="215">
        <v>34</v>
      </c>
      <c r="D250" s="215">
        <v>34</v>
      </c>
      <c r="E250" s="215">
        <v>39</v>
      </c>
      <c r="F250" s="216">
        <f t="shared" si="7"/>
        <v>100</v>
      </c>
      <c r="G250" s="216">
        <f t="shared" si="8"/>
        <v>100</v>
      </c>
    </row>
    <row r="251" spans="1:7" ht="19.5" customHeight="1">
      <c r="A251" s="221" t="s">
        <v>384</v>
      </c>
      <c r="B251" s="215">
        <v>261</v>
      </c>
      <c r="C251" s="215">
        <v>451</v>
      </c>
      <c r="D251" s="215">
        <v>451</v>
      </c>
      <c r="E251" s="215">
        <v>253</v>
      </c>
      <c r="F251" s="216">
        <f t="shared" si="7"/>
        <v>172.79693486590037</v>
      </c>
      <c r="G251" s="216">
        <f t="shared" si="8"/>
        <v>100</v>
      </c>
    </row>
    <row r="252" spans="1:7" ht="19.5" customHeight="1">
      <c r="A252" s="221" t="s">
        <v>385</v>
      </c>
      <c r="B252" s="215">
        <v>50</v>
      </c>
      <c r="C252" s="215">
        <v>60</v>
      </c>
      <c r="D252" s="215">
        <v>60</v>
      </c>
      <c r="E252" s="215">
        <v>87</v>
      </c>
      <c r="F252" s="216">
        <f t="shared" si="7"/>
        <v>120</v>
      </c>
      <c r="G252" s="216">
        <f t="shared" si="8"/>
        <v>100</v>
      </c>
    </row>
    <row r="253" spans="1:7" ht="19.5" customHeight="1">
      <c r="A253" s="221" t="s">
        <v>386</v>
      </c>
      <c r="B253" s="215">
        <f>SUM(B254)</f>
        <v>0</v>
      </c>
      <c r="C253" s="215">
        <f>SUM(C254:C255)</f>
        <v>259</v>
      </c>
      <c r="D253" s="215">
        <f>SUM(D254:D255)</f>
        <v>259</v>
      </c>
      <c r="E253" s="215">
        <f>SUM(E254)</f>
        <v>77</v>
      </c>
      <c r="F253" s="216">
        <f t="shared" si="7"/>
        <v>0</v>
      </c>
      <c r="G253" s="216">
        <f t="shared" si="8"/>
        <v>100</v>
      </c>
    </row>
    <row r="254" spans="1:7" ht="19.5" customHeight="1">
      <c r="A254" s="221" t="s">
        <v>387</v>
      </c>
      <c r="B254" s="215"/>
      <c r="C254" s="215">
        <v>218</v>
      </c>
      <c r="D254" s="215">
        <v>218</v>
      </c>
      <c r="E254" s="215">
        <v>77</v>
      </c>
      <c r="F254" s="216">
        <f t="shared" si="7"/>
        <v>0</v>
      </c>
      <c r="G254" s="216">
        <f t="shared" si="8"/>
        <v>100</v>
      </c>
    </row>
    <row r="255" spans="1:7" ht="19.5" customHeight="1">
      <c r="A255" s="221" t="s">
        <v>388</v>
      </c>
      <c r="B255" s="215"/>
      <c r="C255" s="215">
        <v>41</v>
      </c>
      <c r="D255" s="215">
        <v>41</v>
      </c>
      <c r="E255" s="215"/>
      <c r="F255" s="216"/>
      <c r="G255" s="216"/>
    </row>
    <row r="256" spans="1:7" ht="19.5" customHeight="1">
      <c r="A256" s="221" t="s">
        <v>389</v>
      </c>
      <c r="B256" s="215">
        <f>SUM(B257:B258)</f>
        <v>0</v>
      </c>
      <c r="C256" s="215">
        <f>SUM(C257:C258)</f>
        <v>0</v>
      </c>
      <c r="D256" s="215">
        <f>SUM(D257:D258)</f>
        <v>0</v>
      </c>
      <c r="E256" s="215">
        <f>SUM(E257:E258)</f>
        <v>481</v>
      </c>
      <c r="F256" s="216">
        <f t="shared" si="7"/>
        <v>0</v>
      </c>
      <c r="G256" s="216">
        <f t="shared" si="8"/>
        <v>0</v>
      </c>
    </row>
    <row r="257" spans="1:7" ht="19.5" customHeight="1">
      <c r="A257" s="221" t="s">
        <v>390</v>
      </c>
      <c r="B257" s="215"/>
      <c r="C257" s="215"/>
      <c r="D257" s="215"/>
      <c r="E257" s="215">
        <v>479</v>
      </c>
      <c r="F257" s="216">
        <f t="shared" si="7"/>
        <v>0</v>
      </c>
      <c r="G257" s="216">
        <f t="shared" si="8"/>
        <v>0</v>
      </c>
    </row>
    <row r="258" spans="1:7" ht="19.5" customHeight="1">
      <c r="A258" s="221" t="s">
        <v>391</v>
      </c>
      <c r="B258" s="215"/>
      <c r="C258" s="215"/>
      <c r="D258" s="215"/>
      <c r="E258" s="215">
        <v>2</v>
      </c>
      <c r="F258" s="216">
        <f t="shared" si="7"/>
        <v>0</v>
      </c>
      <c r="G258" s="216">
        <f t="shared" si="8"/>
        <v>0</v>
      </c>
    </row>
    <row r="259" spans="1:7" ht="19.5" customHeight="1">
      <c r="A259" s="221" t="s">
        <v>392</v>
      </c>
      <c r="B259" s="215">
        <f>SUM(B260:B261)</f>
        <v>0</v>
      </c>
      <c r="C259" s="215">
        <f>SUM(C260:C261)</f>
        <v>0</v>
      </c>
      <c r="D259" s="215">
        <f>SUM(D260:D261)</f>
        <v>0</v>
      </c>
      <c r="E259" s="215">
        <f>SUM(E260:E261)</f>
        <v>68</v>
      </c>
      <c r="F259" s="216">
        <f t="shared" si="7"/>
        <v>0</v>
      </c>
      <c r="G259" s="216">
        <f t="shared" si="8"/>
        <v>0</v>
      </c>
    </row>
    <row r="260" spans="1:7" ht="19.5" customHeight="1">
      <c r="A260" s="221" t="s">
        <v>393</v>
      </c>
      <c r="B260" s="215"/>
      <c r="C260" s="215"/>
      <c r="D260" s="215"/>
      <c r="E260" s="215">
        <v>68</v>
      </c>
      <c r="F260" s="216">
        <f t="shared" si="7"/>
        <v>0</v>
      </c>
      <c r="G260" s="216">
        <f t="shared" si="8"/>
        <v>0</v>
      </c>
    </row>
    <row r="261" spans="1:7" ht="19.5" customHeight="1">
      <c r="A261" s="221" t="s">
        <v>394</v>
      </c>
      <c r="B261" s="215"/>
      <c r="C261" s="215"/>
      <c r="D261" s="215"/>
      <c r="E261" s="215"/>
      <c r="F261" s="216">
        <f t="shared" si="7"/>
        <v>0</v>
      </c>
      <c r="G261" s="216">
        <f t="shared" si="8"/>
        <v>0</v>
      </c>
    </row>
    <row r="262" spans="1:7" ht="19.5" customHeight="1">
      <c r="A262" s="221" t="s">
        <v>395</v>
      </c>
      <c r="B262" s="215">
        <f>SUM(B263)</f>
        <v>113</v>
      </c>
      <c r="C262" s="215">
        <f>SUM(C263)</f>
        <v>134</v>
      </c>
      <c r="D262" s="215">
        <f>SUM(D263)</f>
        <v>134</v>
      </c>
      <c r="E262" s="215">
        <f>SUM(E263)</f>
        <v>71</v>
      </c>
      <c r="F262" s="216">
        <f t="shared" si="7"/>
        <v>118.58407079646018</v>
      </c>
      <c r="G262" s="216">
        <f t="shared" si="8"/>
        <v>100</v>
      </c>
    </row>
    <row r="263" spans="1:7" ht="19.5" customHeight="1">
      <c r="A263" s="221" t="s">
        <v>396</v>
      </c>
      <c r="B263" s="215">
        <v>113</v>
      </c>
      <c r="C263" s="215">
        <v>134</v>
      </c>
      <c r="D263" s="215">
        <v>134</v>
      </c>
      <c r="E263" s="215">
        <v>71</v>
      </c>
      <c r="F263" s="216">
        <f t="shared" si="7"/>
        <v>118.58407079646018</v>
      </c>
      <c r="G263" s="216">
        <f t="shared" si="8"/>
        <v>100</v>
      </c>
    </row>
    <row r="264" spans="1:7" ht="19.5" customHeight="1">
      <c r="A264" s="221" t="s">
        <v>397</v>
      </c>
      <c r="B264" s="215">
        <f>SUM(B266)</f>
        <v>49</v>
      </c>
      <c r="C264" s="215">
        <f>SUM(C265:C266)</f>
        <v>59</v>
      </c>
      <c r="D264" s="215">
        <f>SUM(D265:D266)</f>
        <v>59</v>
      </c>
      <c r="E264" s="215">
        <f>SUM(E266)</f>
        <v>47</v>
      </c>
      <c r="F264" s="216">
        <f t="shared" si="7"/>
        <v>120.40816326530613</v>
      </c>
      <c r="G264" s="216">
        <f t="shared" si="8"/>
        <v>100</v>
      </c>
    </row>
    <row r="265" spans="1:7" ht="19.5" customHeight="1">
      <c r="A265" s="221" t="s">
        <v>398</v>
      </c>
      <c r="B265" s="215"/>
      <c r="C265" s="215">
        <v>25</v>
      </c>
      <c r="D265" s="215">
        <v>25</v>
      </c>
      <c r="E265" s="215"/>
      <c r="F265" s="216"/>
      <c r="G265" s="216"/>
    </row>
    <row r="266" spans="1:7" ht="19.5" customHeight="1">
      <c r="A266" s="221" t="s">
        <v>399</v>
      </c>
      <c r="B266" s="215">
        <v>49</v>
      </c>
      <c r="C266" s="215">
        <v>34</v>
      </c>
      <c r="D266" s="215">
        <v>34</v>
      </c>
      <c r="E266" s="215">
        <v>47</v>
      </c>
      <c r="F266" s="216">
        <f aca="true" t="shared" si="9" ref="F266:F291">IF(B266=0,0,D266/B266*100)</f>
        <v>69.38775510204081</v>
      </c>
      <c r="G266" s="216">
        <f aca="true" t="shared" si="10" ref="G266:G291">IF(D266=0,0,D266/C266*100)</f>
        <v>100</v>
      </c>
    </row>
    <row r="267" spans="1:7" ht="19.5" customHeight="1">
      <c r="A267" s="221" t="s">
        <v>400</v>
      </c>
      <c r="B267" s="215">
        <f>SUM(B268)</f>
        <v>15</v>
      </c>
      <c r="C267" s="215">
        <f>SUM(C268)</f>
        <v>20</v>
      </c>
      <c r="D267" s="215">
        <f>SUM(D268)</f>
        <v>20</v>
      </c>
      <c r="E267" s="215">
        <f>SUM(E268)</f>
        <v>5</v>
      </c>
      <c r="F267" s="216">
        <f t="shared" si="9"/>
        <v>133.33333333333331</v>
      </c>
      <c r="G267" s="216">
        <f t="shared" si="10"/>
        <v>100</v>
      </c>
    </row>
    <row r="268" spans="1:7" ht="19.5" customHeight="1">
      <c r="A268" s="221" t="s">
        <v>401</v>
      </c>
      <c r="B268" s="215">
        <v>15</v>
      </c>
      <c r="C268" s="215">
        <v>20</v>
      </c>
      <c r="D268" s="215">
        <v>20</v>
      </c>
      <c r="E268" s="215">
        <v>5</v>
      </c>
      <c r="F268" s="216">
        <f t="shared" si="9"/>
        <v>133.33333333333331</v>
      </c>
      <c r="G268" s="216">
        <f t="shared" si="10"/>
        <v>100</v>
      </c>
    </row>
    <row r="269" spans="1:7" ht="19.5" customHeight="1">
      <c r="A269" s="221" t="s">
        <v>402</v>
      </c>
      <c r="B269" s="215">
        <f>SUM(B270:B271)</f>
        <v>417</v>
      </c>
      <c r="C269" s="215">
        <f>SUM(C270:C271)</f>
        <v>256.8</v>
      </c>
      <c r="D269" s="215">
        <f>SUM(D270:D271)</f>
        <v>257</v>
      </c>
      <c r="E269" s="215">
        <f>SUM(E270:E271)</f>
        <v>215</v>
      </c>
      <c r="F269" s="216">
        <f t="shared" si="9"/>
        <v>61.63069544364509</v>
      </c>
      <c r="G269" s="216">
        <f t="shared" si="10"/>
        <v>100.0778816199377</v>
      </c>
    </row>
    <row r="270" spans="1:7" ht="19.5" customHeight="1">
      <c r="A270" s="221" t="s">
        <v>403</v>
      </c>
      <c r="B270" s="215">
        <v>117</v>
      </c>
      <c r="C270" s="215">
        <v>96.7</v>
      </c>
      <c r="D270" s="215">
        <v>97</v>
      </c>
      <c r="E270" s="215">
        <v>74</v>
      </c>
      <c r="F270" s="216">
        <f t="shared" si="9"/>
        <v>82.90598290598291</v>
      </c>
      <c r="G270" s="216">
        <f t="shared" si="10"/>
        <v>100.31023784901758</v>
      </c>
    </row>
    <row r="271" spans="1:7" ht="19.5" customHeight="1">
      <c r="A271" s="221" t="s">
        <v>404</v>
      </c>
      <c r="B271" s="215">
        <v>300</v>
      </c>
      <c r="C271" s="215">
        <v>160.1</v>
      </c>
      <c r="D271" s="215">
        <v>160</v>
      </c>
      <c r="E271" s="215">
        <v>141</v>
      </c>
      <c r="F271" s="216">
        <f t="shared" si="9"/>
        <v>53.333333333333336</v>
      </c>
      <c r="G271" s="216">
        <f t="shared" si="10"/>
        <v>99.93753903810119</v>
      </c>
    </row>
    <row r="272" spans="1:7" ht="19.5" customHeight="1">
      <c r="A272" s="221" t="s">
        <v>405</v>
      </c>
      <c r="B272" s="215">
        <f>SUM(B273:B274)</f>
        <v>2114</v>
      </c>
      <c r="C272" s="215">
        <f>SUM(C273:C274)</f>
        <v>2176.44</v>
      </c>
      <c r="D272" s="215">
        <f>SUM(D273:D274)</f>
        <v>1976</v>
      </c>
      <c r="E272" s="215">
        <f>SUM(E273:E274)</f>
        <v>1452</v>
      </c>
      <c r="F272" s="216">
        <f t="shared" si="9"/>
        <v>93.4720908230842</v>
      </c>
      <c r="G272" s="216">
        <f t="shared" si="10"/>
        <v>90.79046516329419</v>
      </c>
    </row>
    <row r="273" spans="1:7" ht="19.5" customHeight="1">
      <c r="A273" s="221" t="s">
        <v>406</v>
      </c>
      <c r="B273" s="215">
        <v>2094</v>
      </c>
      <c r="C273" s="215">
        <v>2176.44</v>
      </c>
      <c r="D273" s="215">
        <v>1976</v>
      </c>
      <c r="E273" s="215">
        <v>1452</v>
      </c>
      <c r="F273" s="216">
        <f t="shared" si="9"/>
        <v>94.36485195797518</v>
      </c>
      <c r="G273" s="216">
        <f t="shared" si="10"/>
        <v>90.79046516329419</v>
      </c>
    </row>
    <row r="274" spans="1:7" ht="19.5" customHeight="1">
      <c r="A274" s="221" t="s">
        <v>407</v>
      </c>
      <c r="B274" s="215">
        <v>20</v>
      </c>
      <c r="C274" s="215"/>
      <c r="D274" s="215"/>
      <c r="E274" s="215"/>
      <c r="F274" s="216">
        <f t="shared" si="9"/>
        <v>0</v>
      </c>
      <c r="G274" s="216">
        <f t="shared" si="10"/>
        <v>0</v>
      </c>
    </row>
    <row r="275" spans="1:7" ht="19.5" customHeight="1">
      <c r="A275" s="221" t="s">
        <v>408</v>
      </c>
      <c r="B275" s="215">
        <f>SUM(B276)</f>
        <v>7006</v>
      </c>
      <c r="C275" s="215">
        <f>SUM(C276)</f>
        <v>15938.6</v>
      </c>
      <c r="D275" s="215">
        <f>SUM(D276)</f>
        <v>15939</v>
      </c>
      <c r="E275" s="215">
        <f>SUM(E276)</f>
        <v>4071</v>
      </c>
      <c r="F275" s="216">
        <f t="shared" si="9"/>
        <v>227.504995717956</v>
      </c>
      <c r="G275" s="216">
        <f t="shared" si="10"/>
        <v>100.00250963070785</v>
      </c>
    </row>
    <row r="276" spans="1:7" ht="19.5" customHeight="1">
      <c r="A276" s="221" t="s">
        <v>409</v>
      </c>
      <c r="B276" s="215">
        <v>7006</v>
      </c>
      <c r="C276" s="215">
        <v>15938.6</v>
      </c>
      <c r="D276" s="215">
        <v>15939</v>
      </c>
      <c r="E276" s="215">
        <v>4071</v>
      </c>
      <c r="F276" s="216">
        <f t="shared" si="9"/>
        <v>227.504995717956</v>
      </c>
      <c r="G276" s="216">
        <f t="shared" si="10"/>
        <v>100.00250963070785</v>
      </c>
    </row>
    <row r="277" spans="1:7" ht="19.5" customHeight="1">
      <c r="A277" s="221" t="s">
        <v>410</v>
      </c>
      <c r="B277" s="215">
        <f>SUM(B278)</f>
        <v>588</v>
      </c>
      <c r="C277" s="215">
        <f>SUM(C278)</f>
        <v>1021</v>
      </c>
      <c r="D277" s="215">
        <f>SUM(D278)</f>
        <v>1021</v>
      </c>
      <c r="E277" s="215">
        <f>SUM(E278)</f>
        <v>3280</v>
      </c>
      <c r="F277" s="216">
        <f t="shared" si="9"/>
        <v>173.63945578231292</v>
      </c>
      <c r="G277" s="216">
        <f t="shared" si="10"/>
        <v>100</v>
      </c>
    </row>
    <row r="278" spans="1:7" ht="19.5" customHeight="1">
      <c r="A278" s="221" t="s">
        <v>411</v>
      </c>
      <c r="B278" s="215">
        <v>588</v>
      </c>
      <c r="C278" s="215">
        <v>1021</v>
      </c>
      <c r="D278" s="215">
        <v>1021</v>
      </c>
      <c r="E278" s="215">
        <v>3280</v>
      </c>
      <c r="F278" s="216">
        <f t="shared" si="9"/>
        <v>173.63945578231292</v>
      </c>
      <c r="G278" s="216">
        <f t="shared" si="10"/>
        <v>100</v>
      </c>
    </row>
    <row r="279" spans="1:7" ht="19.5" customHeight="1">
      <c r="A279" s="221" t="s">
        <v>412</v>
      </c>
      <c r="B279" s="215">
        <f>SUM(B280)</f>
        <v>77</v>
      </c>
      <c r="C279" s="215">
        <f>SUM(C280)</f>
        <v>117.53</v>
      </c>
      <c r="D279" s="215">
        <f>SUM(D280)</f>
        <v>118</v>
      </c>
      <c r="E279" s="215">
        <f>SUM(E280)</f>
        <v>89</v>
      </c>
      <c r="F279" s="216">
        <f t="shared" si="9"/>
        <v>153.24675324675326</v>
      </c>
      <c r="G279" s="216">
        <f t="shared" si="10"/>
        <v>100.39989789840891</v>
      </c>
    </row>
    <row r="280" spans="1:7" ht="19.5" customHeight="1">
      <c r="A280" s="221" t="s">
        <v>413</v>
      </c>
      <c r="B280" s="215">
        <v>77</v>
      </c>
      <c r="C280" s="215">
        <v>117.53</v>
      </c>
      <c r="D280" s="215">
        <v>118</v>
      </c>
      <c r="E280" s="215">
        <v>89</v>
      </c>
      <c r="F280" s="216">
        <f t="shared" si="9"/>
        <v>153.24675324675326</v>
      </c>
      <c r="G280" s="216">
        <f t="shared" si="10"/>
        <v>100.39989789840891</v>
      </c>
    </row>
    <row r="281" spans="1:7" ht="19.5" customHeight="1">
      <c r="A281" s="221" t="s">
        <v>414</v>
      </c>
      <c r="B281" s="215">
        <f>SUM(B282)</f>
        <v>0</v>
      </c>
      <c r="C281" s="215">
        <f>SUM(C282)</f>
        <v>55</v>
      </c>
      <c r="D281" s="215">
        <f>SUM(D282)</f>
        <v>0</v>
      </c>
      <c r="E281" s="215">
        <f>SUM(E282)</f>
        <v>0</v>
      </c>
      <c r="F281" s="216">
        <f t="shared" si="9"/>
        <v>0</v>
      </c>
      <c r="G281" s="216">
        <f t="shared" si="10"/>
        <v>0</v>
      </c>
    </row>
    <row r="282" spans="1:7" ht="19.5" customHeight="1">
      <c r="A282" s="221" t="s">
        <v>415</v>
      </c>
      <c r="B282" s="215"/>
      <c r="C282" s="215">
        <v>55</v>
      </c>
      <c r="D282" s="253"/>
      <c r="E282" s="215"/>
      <c r="F282" s="216">
        <f t="shared" si="9"/>
        <v>0</v>
      </c>
      <c r="G282" s="216">
        <f t="shared" si="10"/>
        <v>0</v>
      </c>
    </row>
    <row r="283" spans="1:7" ht="19.5" customHeight="1">
      <c r="A283" s="221" t="s">
        <v>416</v>
      </c>
      <c r="B283" s="215">
        <f>SUM(B284)</f>
        <v>335</v>
      </c>
      <c r="C283" s="215">
        <f>SUM(C284)</f>
        <v>347</v>
      </c>
      <c r="D283" s="215">
        <f>SUM(D284)</f>
        <v>347</v>
      </c>
      <c r="E283" s="215">
        <f>SUM(E284)</f>
        <v>0</v>
      </c>
      <c r="F283" s="216">
        <f t="shared" si="9"/>
        <v>103.5820895522388</v>
      </c>
      <c r="G283" s="216">
        <f t="shared" si="10"/>
        <v>100</v>
      </c>
    </row>
    <row r="284" spans="1:7" ht="19.5" customHeight="1">
      <c r="A284" s="221" t="s">
        <v>417</v>
      </c>
      <c r="B284" s="215">
        <v>335</v>
      </c>
      <c r="C284" s="215">
        <v>347</v>
      </c>
      <c r="D284" s="215">
        <v>347</v>
      </c>
      <c r="E284" s="215"/>
      <c r="F284" s="216">
        <f t="shared" si="9"/>
        <v>103.5820895522388</v>
      </c>
      <c r="G284" s="216">
        <f t="shared" si="10"/>
        <v>100</v>
      </c>
    </row>
    <row r="285" spans="1:7" ht="19.5" customHeight="1">
      <c r="A285" s="221" t="s">
        <v>418</v>
      </c>
      <c r="B285" s="215">
        <f>SUM(B286:B289)</f>
        <v>1491</v>
      </c>
      <c r="C285" s="215">
        <f>SUM(C286:C289)</f>
        <v>2809</v>
      </c>
      <c r="D285" s="215">
        <f>SUM(D286:D289)</f>
        <v>2809</v>
      </c>
      <c r="E285" s="215">
        <f>SUM(E286:E289)</f>
        <v>0</v>
      </c>
      <c r="F285" s="216">
        <f t="shared" si="9"/>
        <v>188.39704896042923</v>
      </c>
      <c r="G285" s="216">
        <f t="shared" si="10"/>
        <v>100</v>
      </c>
    </row>
    <row r="286" spans="1:7" ht="19.5" customHeight="1">
      <c r="A286" s="221" t="s">
        <v>419</v>
      </c>
      <c r="B286" s="215">
        <v>430</v>
      </c>
      <c r="C286" s="215">
        <v>683</v>
      </c>
      <c r="D286" s="215">
        <v>683</v>
      </c>
      <c r="E286" s="215"/>
      <c r="F286" s="216">
        <f t="shared" si="9"/>
        <v>158.8372093023256</v>
      </c>
      <c r="G286" s="216">
        <f t="shared" si="10"/>
        <v>100</v>
      </c>
    </row>
    <row r="287" spans="1:7" ht="19.5" customHeight="1">
      <c r="A287" s="221" t="s">
        <v>420</v>
      </c>
      <c r="B287" s="215">
        <v>25</v>
      </c>
      <c r="C287" s="215">
        <v>145</v>
      </c>
      <c r="D287" s="215">
        <v>145</v>
      </c>
      <c r="E287" s="215"/>
      <c r="F287" s="216">
        <f t="shared" si="9"/>
        <v>580</v>
      </c>
      <c r="G287" s="216">
        <f t="shared" si="10"/>
        <v>100</v>
      </c>
    </row>
    <row r="288" spans="1:7" ht="19.5" customHeight="1">
      <c r="A288" s="221" t="s">
        <v>421</v>
      </c>
      <c r="B288" s="215">
        <v>20</v>
      </c>
      <c r="C288" s="215"/>
      <c r="D288" s="215"/>
      <c r="E288" s="215"/>
      <c r="F288" s="216">
        <f t="shared" si="9"/>
        <v>0</v>
      </c>
      <c r="G288" s="216">
        <f t="shared" si="10"/>
        <v>0</v>
      </c>
    </row>
    <row r="289" spans="1:7" ht="19.5" customHeight="1">
      <c r="A289" s="221" t="s">
        <v>422</v>
      </c>
      <c r="B289" s="215">
        <v>1016</v>
      </c>
      <c r="C289" s="215">
        <v>1981</v>
      </c>
      <c r="D289" s="215">
        <v>1981</v>
      </c>
      <c r="E289" s="215"/>
      <c r="F289" s="216">
        <f t="shared" si="9"/>
        <v>194.98031496062993</v>
      </c>
      <c r="G289" s="216">
        <f t="shared" si="10"/>
        <v>100</v>
      </c>
    </row>
    <row r="290" spans="1:7" ht="19.5" customHeight="1">
      <c r="A290" s="221" t="s">
        <v>423</v>
      </c>
      <c r="B290" s="215">
        <f>SUM(B291)</f>
        <v>18</v>
      </c>
      <c r="C290" s="215">
        <f>SUM(C291)</f>
        <v>73</v>
      </c>
      <c r="D290" s="215">
        <f>SUM(D291)</f>
        <v>73</v>
      </c>
      <c r="E290" s="215">
        <f>SUM(E291)</f>
        <v>10</v>
      </c>
      <c r="F290" s="216">
        <f t="shared" si="9"/>
        <v>405.55555555555554</v>
      </c>
      <c r="G290" s="216">
        <f t="shared" si="10"/>
        <v>100</v>
      </c>
    </row>
    <row r="291" spans="1:7" ht="19.5" customHeight="1">
      <c r="A291" s="221" t="s">
        <v>424</v>
      </c>
      <c r="B291" s="215">
        <v>18</v>
      </c>
      <c r="C291" s="215">
        <v>73</v>
      </c>
      <c r="D291" s="215">
        <v>73</v>
      </c>
      <c r="E291" s="215">
        <v>10</v>
      </c>
      <c r="F291" s="216">
        <f t="shared" si="9"/>
        <v>405.55555555555554</v>
      </c>
      <c r="G291" s="216">
        <f t="shared" si="10"/>
        <v>100</v>
      </c>
    </row>
    <row r="292" spans="1:7" ht="19.5" customHeight="1">
      <c r="A292" s="221" t="s">
        <v>425</v>
      </c>
      <c r="B292" s="215">
        <f>SUM(B293)</f>
        <v>0</v>
      </c>
      <c r="C292" s="215">
        <f>SUM(C293)</f>
        <v>0</v>
      </c>
      <c r="D292" s="215">
        <f>SUM(D293)</f>
        <v>0</v>
      </c>
      <c r="E292" s="215"/>
      <c r="F292" s="216"/>
      <c r="G292" s="216"/>
    </row>
    <row r="293" spans="1:7" ht="19.5" customHeight="1">
      <c r="A293" s="221" t="s">
        <v>426</v>
      </c>
      <c r="B293" s="215"/>
      <c r="C293" s="215"/>
      <c r="D293" s="215"/>
      <c r="E293" s="215"/>
      <c r="F293" s="216"/>
      <c r="G293" s="216"/>
    </row>
    <row r="294" spans="1:7" ht="19.5" customHeight="1">
      <c r="A294" s="221" t="s">
        <v>83</v>
      </c>
      <c r="B294" s="215">
        <f>SUM(B295,B297,B307,B309,B311,B314,B321)</f>
        <v>2816</v>
      </c>
      <c r="C294" s="215">
        <f>SUM(C295,C297,C307,C309,C311,C314,C321)+2</f>
        <v>4508</v>
      </c>
      <c r="D294" s="215">
        <f>SUM(D295,D297,D307,D309,D311,D314,D321)+2</f>
        <v>4508</v>
      </c>
      <c r="E294" s="215">
        <f>SUM(E295,E297,E307,E309,E311,E314,E321)</f>
        <v>12998</v>
      </c>
      <c r="F294" s="216">
        <f t="shared" si="7"/>
        <v>160.08522727272728</v>
      </c>
      <c r="G294" s="216">
        <f t="shared" si="8"/>
        <v>100</v>
      </c>
    </row>
    <row r="295" spans="1:7" ht="19.5" customHeight="1">
      <c r="A295" s="221" t="s">
        <v>427</v>
      </c>
      <c r="B295" s="215">
        <f>SUM(B296)</f>
        <v>0</v>
      </c>
      <c r="C295" s="215">
        <f>SUM(C296)</f>
        <v>0</v>
      </c>
      <c r="D295" s="215">
        <f>SUM(D296)</f>
        <v>0</v>
      </c>
      <c r="E295" s="215">
        <f>SUM(E296)</f>
        <v>5128</v>
      </c>
      <c r="F295" s="216">
        <f t="shared" si="7"/>
        <v>0</v>
      </c>
      <c r="G295" s="216">
        <f t="shared" si="8"/>
        <v>0</v>
      </c>
    </row>
    <row r="296" spans="1:7" ht="19.5" customHeight="1">
      <c r="A296" s="221" t="s">
        <v>428</v>
      </c>
      <c r="B296" s="215"/>
      <c r="C296" s="215"/>
      <c r="D296" s="215"/>
      <c r="E296" s="215">
        <v>5128</v>
      </c>
      <c r="F296" s="216">
        <f t="shared" si="7"/>
        <v>0</v>
      </c>
      <c r="G296" s="216">
        <f t="shared" si="8"/>
        <v>0</v>
      </c>
    </row>
    <row r="297" spans="1:7" ht="19.5" customHeight="1">
      <c r="A297" s="221" t="s">
        <v>429</v>
      </c>
      <c r="B297" s="215">
        <f>SUM(B298:B306)</f>
        <v>1645</v>
      </c>
      <c r="C297" s="215">
        <f>SUM(C298:C306)</f>
        <v>2737</v>
      </c>
      <c r="D297" s="215">
        <f>SUM(D298:D306)</f>
        <v>2737</v>
      </c>
      <c r="E297" s="215">
        <f>SUM(E298:E306)</f>
        <v>6871</v>
      </c>
      <c r="F297" s="216">
        <f t="shared" si="7"/>
        <v>166.38297872340425</v>
      </c>
      <c r="G297" s="216">
        <f t="shared" si="8"/>
        <v>100</v>
      </c>
    </row>
    <row r="298" spans="1:7" ht="19.5" customHeight="1">
      <c r="A298" s="221" t="s">
        <v>430</v>
      </c>
      <c r="B298" s="215">
        <v>1048</v>
      </c>
      <c r="C298" s="215">
        <v>1310</v>
      </c>
      <c r="D298" s="215">
        <v>1310</v>
      </c>
      <c r="E298" s="215">
        <v>4451</v>
      </c>
      <c r="F298" s="216">
        <f t="shared" si="7"/>
        <v>125</v>
      </c>
      <c r="G298" s="216">
        <f t="shared" si="8"/>
        <v>100</v>
      </c>
    </row>
    <row r="299" spans="1:7" ht="19.5" customHeight="1">
      <c r="A299" s="221" t="s">
        <v>431</v>
      </c>
      <c r="B299" s="215"/>
      <c r="C299" s="215"/>
      <c r="D299" s="215"/>
      <c r="E299" s="215">
        <v>50</v>
      </c>
      <c r="F299" s="216">
        <f t="shared" si="7"/>
        <v>0</v>
      </c>
      <c r="G299" s="216">
        <f t="shared" si="8"/>
        <v>0</v>
      </c>
    </row>
    <row r="300" spans="1:7" ht="19.5" customHeight="1">
      <c r="A300" s="237" t="s">
        <v>432</v>
      </c>
      <c r="B300" s="215"/>
      <c r="C300" s="215"/>
      <c r="D300" s="215"/>
      <c r="E300" s="215"/>
      <c r="F300" s="216">
        <f t="shared" si="7"/>
        <v>0</v>
      </c>
      <c r="G300" s="216">
        <f t="shared" si="8"/>
        <v>0</v>
      </c>
    </row>
    <row r="301" spans="1:7" ht="19.5" customHeight="1">
      <c r="A301" s="221" t="s">
        <v>433</v>
      </c>
      <c r="B301" s="215"/>
      <c r="C301" s="215"/>
      <c r="D301" s="215"/>
      <c r="E301" s="215">
        <v>33</v>
      </c>
      <c r="F301" s="216">
        <f t="shared" si="7"/>
        <v>0</v>
      </c>
      <c r="G301" s="216">
        <f t="shared" si="8"/>
        <v>0</v>
      </c>
    </row>
    <row r="302" spans="1:7" ht="19.5" customHeight="1">
      <c r="A302" s="221" t="s">
        <v>434</v>
      </c>
      <c r="B302" s="215"/>
      <c r="C302" s="215"/>
      <c r="D302" s="215"/>
      <c r="E302" s="215">
        <v>2056</v>
      </c>
      <c r="F302" s="216">
        <f t="shared" si="7"/>
        <v>0</v>
      </c>
      <c r="G302" s="216">
        <f>IF(D302=0,0,D302/C303*100)</f>
        <v>0</v>
      </c>
    </row>
    <row r="303" spans="1:7" ht="19.5" customHeight="1">
      <c r="A303" s="221" t="s">
        <v>435</v>
      </c>
      <c r="B303" s="215"/>
      <c r="C303" s="215"/>
      <c r="D303" s="215"/>
      <c r="E303" s="215">
        <v>7</v>
      </c>
      <c r="F303" s="216">
        <f t="shared" si="7"/>
        <v>0</v>
      </c>
      <c r="G303" s="216">
        <f>IF(D303=0,0,D303/C306*100)</f>
        <v>0</v>
      </c>
    </row>
    <row r="304" spans="1:7" ht="19.5" customHeight="1">
      <c r="A304" s="237" t="s">
        <v>436</v>
      </c>
      <c r="B304" s="215"/>
      <c r="C304" s="215">
        <v>42</v>
      </c>
      <c r="D304" s="215">
        <v>42</v>
      </c>
      <c r="E304" s="215"/>
      <c r="F304" s="216"/>
      <c r="G304" s="216"/>
    </row>
    <row r="305" spans="1:7" ht="19.5" customHeight="1">
      <c r="A305" s="237" t="s">
        <v>437</v>
      </c>
      <c r="B305" s="215">
        <v>485</v>
      </c>
      <c r="C305" s="215">
        <v>742</v>
      </c>
      <c r="D305" s="215">
        <v>742</v>
      </c>
      <c r="E305" s="215"/>
      <c r="F305" s="216">
        <f>IF(B305=0,0,D305/B305*100)</f>
        <v>152.98969072164948</v>
      </c>
      <c r="G305" s="216">
        <f>IF(D305=0,0,D305/C307*100)</f>
        <v>862.7906976744185</v>
      </c>
    </row>
    <row r="306" spans="1:7" ht="19.5" customHeight="1">
      <c r="A306" s="221" t="s">
        <v>438</v>
      </c>
      <c r="B306" s="215">
        <v>112</v>
      </c>
      <c r="C306" s="215">
        <v>643</v>
      </c>
      <c r="D306" s="215">
        <v>643</v>
      </c>
      <c r="E306" s="215">
        <v>274</v>
      </c>
      <c r="F306" s="216">
        <f t="shared" si="7"/>
        <v>574.1071428571429</v>
      </c>
      <c r="G306" s="216">
        <f t="shared" si="8"/>
        <v>100</v>
      </c>
    </row>
    <row r="307" spans="1:7" ht="19.5" customHeight="1">
      <c r="A307" s="221" t="s">
        <v>439</v>
      </c>
      <c r="B307" s="215">
        <f>SUM(B308)</f>
        <v>0</v>
      </c>
      <c r="C307" s="215">
        <f>SUM(C308)</f>
        <v>86</v>
      </c>
      <c r="D307" s="215">
        <f>SUM(D308)</f>
        <v>86</v>
      </c>
      <c r="E307" s="215">
        <f>SUM(E308)</f>
        <v>86</v>
      </c>
      <c r="F307" s="216">
        <f t="shared" si="7"/>
        <v>0</v>
      </c>
      <c r="G307" s="216">
        <f t="shared" si="8"/>
        <v>100</v>
      </c>
    </row>
    <row r="308" spans="1:7" ht="19.5" customHeight="1">
      <c r="A308" s="221" t="s">
        <v>440</v>
      </c>
      <c r="B308" s="215"/>
      <c r="C308" s="215">
        <v>86</v>
      </c>
      <c r="D308" s="215">
        <v>86</v>
      </c>
      <c r="E308" s="215">
        <v>86</v>
      </c>
      <c r="F308" s="216">
        <f t="shared" si="7"/>
        <v>0</v>
      </c>
      <c r="G308" s="216">
        <f t="shared" si="8"/>
        <v>100</v>
      </c>
    </row>
    <row r="309" spans="1:7" ht="19.5" customHeight="1">
      <c r="A309" s="221" t="s">
        <v>441</v>
      </c>
      <c r="B309" s="215">
        <f>SUM(B310)</f>
        <v>70</v>
      </c>
      <c r="C309" s="215">
        <f>SUM(C310)</f>
        <v>208</v>
      </c>
      <c r="D309" s="215">
        <f>SUM(D310)</f>
        <v>208</v>
      </c>
      <c r="E309" s="215">
        <f>SUM(E310)</f>
        <v>144</v>
      </c>
      <c r="F309" s="216">
        <f aca="true" t="shared" si="11" ref="F309:F383">IF(B309=0,0,D309/B309*100)</f>
        <v>297.14285714285717</v>
      </c>
      <c r="G309" s="216">
        <f aca="true" t="shared" si="12" ref="G309:G383">IF(D309=0,0,D309/C309*100)</f>
        <v>100</v>
      </c>
    </row>
    <row r="310" spans="1:7" ht="19.5" customHeight="1">
      <c r="A310" s="221" t="s">
        <v>442</v>
      </c>
      <c r="B310" s="215">
        <v>70</v>
      </c>
      <c r="C310" s="215">
        <v>208</v>
      </c>
      <c r="D310" s="215">
        <v>208</v>
      </c>
      <c r="E310" s="215">
        <v>144</v>
      </c>
      <c r="F310" s="216">
        <f t="shared" si="11"/>
        <v>297.14285714285717</v>
      </c>
      <c r="G310" s="216">
        <f t="shared" si="12"/>
        <v>100</v>
      </c>
    </row>
    <row r="311" spans="1:7" ht="19.5" customHeight="1">
      <c r="A311" s="221" t="s">
        <v>443</v>
      </c>
      <c r="B311" s="215">
        <f>SUM(B312,B313)</f>
        <v>394</v>
      </c>
      <c r="C311" s="215">
        <f>SUM(C312,C313)</f>
        <v>429</v>
      </c>
      <c r="D311" s="215">
        <f>SUM(D312,D313)</f>
        <v>429</v>
      </c>
      <c r="E311" s="215">
        <f>SUM(E312,E313)</f>
        <v>178</v>
      </c>
      <c r="F311" s="216">
        <f t="shared" si="11"/>
        <v>108.88324873096447</v>
      </c>
      <c r="G311" s="216">
        <f t="shared" si="12"/>
        <v>100</v>
      </c>
    </row>
    <row r="312" spans="1:7" ht="19.5" customHeight="1">
      <c r="A312" s="221" t="s">
        <v>444</v>
      </c>
      <c r="B312" s="215">
        <v>394</v>
      </c>
      <c r="C312" s="215">
        <v>429</v>
      </c>
      <c r="D312" s="215">
        <v>429</v>
      </c>
      <c r="E312" s="215">
        <v>178</v>
      </c>
      <c r="F312" s="216">
        <f t="shared" si="11"/>
        <v>108.88324873096447</v>
      </c>
      <c r="G312" s="216">
        <f t="shared" si="12"/>
        <v>100</v>
      </c>
    </row>
    <row r="313" spans="1:7" ht="19.5" customHeight="1">
      <c r="A313" s="237" t="s">
        <v>445</v>
      </c>
      <c r="B313" s="215"/>
      <c r="C313" s="215"/>
      <c r="D313" s="215"/>
      <c r="E313" s="215"/>
      <c r="F313" s="216">
        <f t="shared" si="11"/>
        <v>0</v>
      </c>
      <c r="G313" s="216">
        <f t="shared" si="12"/>
        <v>0</v>
      </c>
    </row>
    <row r="314" spans="1:7" ht="19.5" customHeight="1">
      <c r="A314" s="221" t="s">
        <v>446</v>
      </c>
      <c r="B314" s="215">
        <f>SUM(B315:B320)</f>
        <v>497</v>
      </c>
      <c r="C314" s="215">
        <f>SUM(C315:C320)</f>
        <v>592</v>
      </c>
      <c r="D314" s="215">
        <f>SUM(D315:D320)</f>
        <v>592</v>
      </c>
      <c r="E314" s="215">
        <f>SUM(E315:E319)</f>
        <v>581</v>
      </c>
      <c r="F314" s="216">
        <f t="shared" si="11"/>
        <v>119.11468812877264</v>
      </c>
      <c r="G314" s="216">
        <f t="shared" si="12"/>
        <v>100</v>
      </c>
    </row>
    <row r="315" spans="1:7" ht="19.5" customHeight="1">
      <c r="A315" s="221" t="s">
        <v>447</v>
      </c>
      <c r="B315" s="215">
        <v>254</v>
      </c>
      <c r="C315" s="215">
        <v>303</v>
      </c>
      <c r="D315" s="215">
        <v>303</v>
      </c>
      <c r="E315" s="215">
        <v>474</v>
      </c>
      <c r="F315" s="216">
        <f t="shared" si="11"/>
        <v>119.29133858267717</v>
      </c>
      <c r="G315" s="216">
        <f t="shared" si="12"/>
        <v>100</v>
      </c>
    </row>
    <row r="316" spans="1:7" ht="19.5" customHeight="1">
      <c r="A316" s="221" t="s">
        <v>448</v>
      </c>
      <c r="B316" s="215">
        <v>14</v>
      </c>
      <c r="C316" s="215">
        <v>14</v>
      </c>
      <c r="D316" s="215">
        <v>14</v>
      </c>
      <c r="E316" s="215"/>
      <c r="F316" s="216"/>
      <c r="G316" s="216"/>
    </row>
    <row r="317" spans="1:7" ht="19.5" customHeight="1">
      <c r="A317" s="221" t="s">
        <v>449</v>
      </c>
      <c r="B317" s="215">
        <v>20</v>
      </c>
      <c r="C317" s="215">
        <v>19</v>
      </c>
      <c r="D317" s="215">
        <v>19</v>
      </c>
      <c r="E317" s="215">
        <v>10</v>
      </c>
      <c r="F317" s="216">
        <f t="shared" si="11"/>
        <v>95</v>
      </c>
      <c r="G317" s="216">
        <f t="shared" si="12"/>
        <v>100</v>
      </c>
    </row>
    <row r="318" spans="1:7" ht="19.5" customHeight="1">
      <c r="A318" s="221" t="s">
        <v>450</v>
      </c>
      <c r="B318" s="215">
        <v>44</v>
      </c>
      <c r="C318" s="215">
        <v>84</v>
      </c>
      <c r="D318" s="215">
        <v>84</v>
      </c>
      <c r="E318" s="215">
        <v>27</v>
      </c>
      <c r="F318" s="216">
        <f t="shared" si="11"/>
        <v>190.9090909090909</v>
      </c>
      <c r="G318" s="216">
        <f t="shared" si="12"/>
        <v>100</v>
      </c>
    </row>
    <row r="319" spans="1:7" ht="19.5" customHeight="1">
      <c r="A319" s="221" t="s">
        <v>451</v>
      </c>
      <c r="B319" s="215">
        <v>104</v>
      </c>
      <c r="C319" s="215">
        <v>95</v>
      </c>
      <c r="D319" s="215">
        <v>95</v>
      </c>
      <c r="E319" s="215">
        <v>70</v>
      </c>
      <c r="F319" s="216">
        <f t="shared" si="11"/>
        <v>91.34615384615384</v>
      </c>
      <c r="G319" s="216">
        <f t="shared" si="12"/>
        <v>100</v>
      </c>
    </row>
    <row r="320" spans="1:7" ht="19.5" customHeight="1">
      <c r="A320" s="221" t="s">
        <v>452</v>
      </c>
      <c r="B320" s="215">
        <v>61</v>
      </c>
      <c r="C320" s="215">
        <v>77</v>
      </c>
      <c r="D320" s="215">
        <v>77</v>
      </c>
      <c r="E320" s="215"/>
      <c r="F320" s="216"/>
      <c r="G320" s="216"/>
    </row>
    <row r="321" spans="1:7" ht="19.5" customHeight="1">
      <c r="A321" s="221" t="s">
        <v>453</v>
      </c>
      <c r="B321" s="215">
        <f>SUM(B322)</f>
        <v>210</v>
      </c>
      <c r="C321" s="215">
        <f>SUM(C322)</f>
        <v>454</v>
      </c>
      <c r="D321" s="215">
        <f>SUM(D322)</f>
        <v>454</v>
      </c>
      <c r="E321" s="215">
        <f>SUM(E322)</f>
        <v>10</v>
      </c>
      <c r="F321" s="216">
        <f t="shared" si="11"/>
        <v>216.19047619047618</v>
      </c>
      <c r="G321" s="216">
        <f t="shared" si="12"/>
        <v>100</v>
      </c>
    </row>
    <row r="322" spans="1:7" ht="19.5" customHeight="1">
      <c r="A322" s="221" t="s">
        <v>454</v>
      </c>
      <c r="B322" s="215">
        <v>210</v>
      </c>
      <c r="C322" s="215">
        <v>454</v>
      </c>
      <c r="D322" s="215">
        <v>454</v>
      </c>
      <c r="E322" s="215">
        <v>10</v>
      </c>
      <c r="F322" s="216">
        <f t="shared" si="11"/>
        <v>216.19047619047618</v>
      </c>
      <c r="G322" s="216">
        <f t="shared" si="12"/>
        <v>100</v>
      </c>
    </row>
    <row r="323" spans="1:7" ht="19.5" customHeight="1">
      <c r="A323" s="221" t="s">
        <v>84</v>
      </c>
      <c r="B323" s="215">
        <f>SUM(B324,B326,B333,B335,B338,B341,B345,B349)</f>
        <v>63786</v>
      </c>
      <c r="C323" s="215">
        <f>SUM(C324,C326,C333,C335,C338,C341,C345,C349)</f>
        <v>71801</v>
      </c>
      <c r="D323" s="215">
        <f>SUM(D324,D326,D333,D335,D338,D341,D345,D349)</f>
        <v>40020</v>
      </c>
      <c r="E323" s="215">
        <f>SUM(E324,E326,E333,E335,E338,E341,E345,E349)</f>
        <v>39814</v>
      </c>
      <c r="F323" s="216">
        <f t="shared" si="11"/>
        <v>62.74104035368263</v>
      </c>
      <c r="G323" s="216">
        <f t="shared" si="12"/>
        <v>55.737385273185616</v>
      </c>
    </row>
    <row r="324" spans="1:7" ht="19.5" customHeight="1">
      <c r="A324" s="221" t="s">
        <v>455</v>
      </c>
      <c r="B324" s="215">
        <f>SUM(B325)</f>
        <v>135</v>
      </c>
      <c r="C324" s="215">
        <f>SUM(C325)</f>
        <v>174</v>
      </c>
      <c r="D324" s="215">
        <f>SUM(D325)</f>
        <v>174</v>
      </c>
      <c r="E324" s="215">
        <f>SUM(E325)</f>
        <v>94</v>
      </c>
      <c r="F324" s="216">
        <f t="shared" si="11"/>
        <v>128.88888888888889</v>
      </c>
      <c r="G324" s="216">
        <f t="shared" si="12"/>
        <v>100</v>
      </c>
    </row>
    <row r="325" spans="1:7" ht="19.5" customHeight="1">
      <c r="A325" s="221" t="s">
        <v>456</v>
      </c>
      <c r="B325" s="215">
        <v>135</v>
      </c>
      <c r="C325" s="215">
        <v>174</v>
      </c>
      <c r="D325" s="215">
        <v>174</v>
      </c>
      <c r="E325" s="215">
        <v>94</v>
      </c>
      <c r="F325" s="216">
        <f t="shared" si="11"/>
        <v>128.88888888888889</v>
      </c>
      <c r="G325" s="216">
        <f t="shared" si="12"/>
        <v>100</v>
      </c>
    </row>
    <row r="326" spans="1:7" ht="19.5" customHeight="1">
      <c r="A326" s="221" t="s">
        <v>457</v>
      </c>
      <c r="B326" s="215">
        <f>SUM(B327:B332)</f>
        <v>24307</v>
      </c>
      <c r="C326" s="215">
        <f>SUM(C327:C332)</f>
        <v>32963</v>
      </c>
      <c r="D326" s="215">
        <f>SUM(D327:D332)</f>
        <v>30636</v>
      </c>
      <c r="E326" s="215">
        <f>SUM(E327:E332)</f>
        <v>24207</v>
      </c>
      <c r="F326" s="216">
        <f t="shared" si="11"/>
        <v>126.03776689842432</v>
      </c>
      <c r="G326" s="216">
        <f t="shared" si="12"/>
        <v>92.94056972969693</v>
      </c>
    </row>
    <row r="327" spans="1:7" ht="19.5" customHeight="1">
      <c r="A327" s="221" t="s">
        <v>458</v>
      </c>
      <c r="B327" s="215">
        <v>6133</v>
      </c>
      <c r="C327" s="215">
        <f>9500-391</f>
        <v>9109</v>
      </c>
      <c r="D327" s="215">
        <v>9092</v>
      </c>
      <c r="E327" s="215">
        <v>3774</v>
      </c>
      <c r="F327" s="216">
        <f t="shared" si="11"/>
        <v>148.2471873471384</v>
      </c>
      <c r="G327" s="216">
        <f t="shared" si="12"/>
        <v>99.81337139093205</v>
      </c>
    </row>
    <row r="328" spans="1:7" ht="19.5" customHeight="1">
      <c r="A328" s="221" t="s">
        <v>459</v>
      </c>
      <c r="B328" s="215">
        <v>8815</v>
      </c>
      <c r="C328" s="254">
        <v>11370</v>
      </c>
      <c r="D328" s="215">
        <v>9869</v>
      </c>
      <c r="E328" s="215">
        <v>7041</v>
      </c>
      <c r="F328" s="216">
        <f t="shared" si="11"/>
        <v>111.95689166193988</v>
      </c>
      <c r="G328" s="216">
        <f t="shared" si="12"/>
        <v>86.7985927880387</v>
      </c>
    </row>
    <row r="329" spans="1:7" ht="19.5" customHeight="1">
      <c r="A329" s="221" t="s">
        <v>460</v>
      </c>
      <c r="B329" s="215">
        <v>4680</v>
      </c>
      <c r="C329" s="254">
        <v>6036</v>
      </c>
      <c r="D329" s="215">
        <v>5571</v>
      </c>
      <c r="E329" s="215">
        <v>8315</v>
      </c>
      <c r="F329" s="216">
        <f t="shared" si="11"/>
        <v>119.03846153846153</v>
      </c>
      <c r="G329" s="216">
        <f t="shared" si="12"/>
        <v>92.2962226640159</v>
      </c>
    </row>
    <row r="330" spans="1:7" ht="19.5" customHeight="1">
      <c r="A330" s="221" t="s">
        <v>461</v>
      </c>
      <c r="B330" s="215">
        <v>3922</v>
      </c>
      <c r="C330" s="254">
        <f>6379-777</f>
        <v>5602</v>
      </c>
      <c r="D330" s="215">
        <v>5316</v>
      </c>
      <c r="E330" s="215">
        <v>3521</v>
      </c>
      <c r="F330" s="216">
        <f t="shared" si="11"/>
        <v>135.54309026007138</v>
      </c>
      <c r="G330" s="216">
        <f t="shared" si="12"/>
        <v>94.89468047126026</v>
      </c>
    </row>
    <row r="331" spans="1:7" ht="19.5" customHeight="1">
      <c r="A331" s="221" t="s">
        <v>462</v>
      </c>
      <c r="B331" s="215"/>
      <c r="C331" s="254">
        <v>10</v>
      </c>
      <c r="D331" s="215">
        <v>10</v>
      </c>
      <c r="E331" s="215">
        <v>9</v>
      </c>
      <c r="F331" s="216">
        <f t="shared" si="11"/>
        <v>0</v>
      </c>
      <c r="G331" s="216">
        <f t="shared" si="12"/>
        <v>100</v>
      </c>
    </row>
    <row r="332" spans="1:7" ht="19.5" customHeight="1">
      <c r="A332" s="221" t="s">
        <v>463</v>
      </c>
      <c r="B332" s="215">
        <v>757</v>
      </c>
      <c r="C332" s="254">
        <v>836</v>
      </c>
      <c r="D332" s="215">
        <v>778</v>
      </c>
      <c r="E332" s="215">
        <v>1547</v>
      </c>
      <c r="F332" s="216">
        <f t="shared" si="11"/>
        <v>102.77410832232496</v>
      </c>
      <c r="G332" s="216">
        <f t="shared" si="12"/>
        <v>93.0622009569378</v>
      </c>
    </row>
    <row r="333" spans="1:7" ht="19.5" customHeight="1">
      <c r="A333" s="221" t="s">
        <v>464</v>
      </c>
      <c r="B333" s="215">
        <f>SUM(B334)</f>
        <v>1135</v>
      </c>
      <c r="C333" s="215">
        <f>SUM(C334)</f>
        <v>1418</v>
      </c>
      <c r="D333" s="215">
        <f>SUM(D334)</f>
        <v>1418</v>
      </c>
      <c r="E333" s="215">
        <f>SUM(E334)</f>
        <v>1502</v>
      </c>
      <c r="F333" s="216">
        <f t="shared" si="11"/>
        <v>124.93392070484582</v>
      </c>
      <c r="G333" s="216">
        <f t="shared" si="12"/>
        <v>100</v>
      </c>
    </row>
    <row r="334" spans="1:7" ht="19.5" customHeight="1">
      <c r="A334" s="221" t="s">
        <v>465</v>
      </c>
      <c r="B334" s="215">
        <v>1135</v>
      </c>
      <c r="C334" s="215">
        <v>1418</v>
      </c>
      <c r="D334" s="215">
        <v>1418</v>
      </c>
      <c r="E334" s="215">
        <v>1502</v>
      </c>
      <c r="F334" s="216">
        <f t="shared" si="11"/>
        <v>124.93392070484582</v>
      </c>
      <c r="G334" s="216">
        <f t="shared" si="12"/>
        <v>100</v>
      </c>
    </row>
    <row r="335" spans="1:7" ht="19.5" customHeight="1">
      <c r="A335" s="221" t="s">
        <v>466</v>
      </c>
      <c r="B335" s="215">
        <f>SUM(B336:B337)</f>
        <v>96</v>
      </c>
      <c r="C335" s="215">
        <f>SUM(C336:C337)</f>
        <v>98</v>
      </c>
      <c r="D335" s="215">
        <f>SUM(D336:D337)</f>
        <v>98</v>
      </c>
      <c r="E335" s="215">
        <f>SUM(E336:E337)</f>
        <v>62</v>
      </c>
      <c r="F335" s="216">
        <f t="shared" si="11"/>
        <v>102.08333333333333</v>
      </c>
      <c r="G335" s="216">
        <f t="shared" si="12"/>
        <v>100</v>
      </c>
    </row>
    <row r="336" spans="1:7" ht="19.5" customHeight="1">
      <c r="A336" s="221" t="s">
        <v>467</v>
      </c>
      <c r="B336" s="215"/>
      <c r="C336" s="215"/>
      <c r="D336" s="215"/>
      <c r="E336" s="215">
        <v>3</v>
      </c>
      <c r="F336" s="216">
        <f t="shared" si="11"/>
        <v>0</v>
      </c>
      <c r="G336" s="216">
        <f t="shared" si="12"/>
        <v>0</v>
      </c>
    </row>
    <row r="337" spans="1:7" ht="19.5" customHeight="1">
      <c r="A337" s="221" t="s">
        <v>468</v>
      </c>
      <c r="B337" s="215">
        <v>96</v>
      </c>
      <c r="C337" s="215">
        <v>98</v>
      </c>
      <c r="D337" s="215">
        <v>98</v>
      </c>
      <c r="E337" s="215">
        <v>59</v>
      </c>
      <c r="F337" s="216">
        <f t="shared" si="11"/>
        <v>102.08333333333333</v>
      </c>
      <c r="G337" s="216">
        <f t="shared" si="12"/>
        <v>100</v>
      </c>
    </row>
    <row r="338" spans="1:7" ht="19.5" customHeight="1">
      <c r="A338" s="221" t="s">
        <v>469</v>
      </c>
      <c r="B338" s="215">
        <f>SUM(B339)</f>
        <v>504</v>
      </c>
      <c r="C338" s="215">
        <f>SUM(C339:C340)</f>
        <v>680</v>
      </c>
      <c r="D338" s="215">
        <f>SUM(D339:D340)</f>
        <v>611</v>
      </c>
      <c r="E338" s="215">
        <f>SUM(E339)</f>
        <v>584</v>
      </c>
      <c r="F338" s="216">
        <f t="shared" si="11"/>
        <v>121.23015873015872</v>
      </c>
      <c r="G338" s="216">
        <f t="shared" si="12"/>
        <v>89.8529411764706</v>
      </c>
    </row>
    <row r="339" spans="1:7" ht="19.5" customHeight="1">
      <c r="A339" s="221" t="s">
        <v>470</v>
      </c>
      <c r="B339" s="215">
        <v>504</v>
      </c>
      <c r="C339" s="215">
        <v>579</v>
      </c>
      <c r="D339" s="215">
        <v>510</v>
      </c>
      <c r="E339" s="215">
        <v>584</v>
      </c>
      <c r="F339" s="216">
        <f t="shared" si="11"/>
        <v>101.19047619047619</v>
      </c>
      <c r="G339" s="216">
        <f t="shared" si="12"/>
        <v>88.08290155440415</v>
      </c>
    </row>
    <row r="340" spans="1:7" ht="19.5" customHeight="1">
      <c r="A340" s="221" t="s">
        <v>471</v>
      </c>
      <c r="B340" s="215"/>
      <c r="C340" s="215">
        <v>101</v>
      </c>
      <c r="D340" s="215">
        <v>101</v>
      </c>
      <c r="E340" s="215"/>
      <c r="F340" s="216"/>
      <c r="G340" s="216"/>
    </row>
    <row r="341" spans="1:7" ht="19.5" customHeight="1">
      <c r="A341" s="221" t="s">
        <v>472</v>
      </c>
      <c r="B341" s="215">
        <f>SUM(B342:B344)</f>
        <v>80</v>
      </c>
      <c r="C341" s="215">
        <f>SUM(C342:C344)</f>
        <v>70</v>
      </c>
      <c r="D341" s="215">
        <f>SUM(D342:D344)</f>
        <v>70</v>
      </c>
      <c r="E341" s="215">
        <f>SUM(E342:E344)</f>
        <v>63</v>
      </c>
      <c r="F341" s="216">
        <f t="shared" si="11"/>
        <v>87.5</v>
      </c>
      <c r="G341" s="216">
        <f t="shared" si="12"/>
        <v>100</v>
      </c>
    </row>
    <row r="342" spans="1:7" ht="19.5" customHeight="1">
      <c r="A342" s="221" t="s">
        <v>473</v>
      </c>
      <c r="B342" s="215">
        <v>13</v>
      </c>
      <c r="C342" s="215">
        <v>13</v>
      </c>
      <c r="D342" s="215">
        <v>13</v>
      </c>
      <c r="E342" s="215">
        <v>3</v>
      </c>
      <c r="F342" s="216">
        <f t="shared" si="11"/>
        <v>100</v>
      </c>
      <c r="G342" s="216">
        <f t="shared" si="12"/>
        <v>100</v>
      </c>
    </row>
    <row r="343" spans="1:7" ht="19.5" customHeight="1">
      <c r="A343" s="221" t="s">
        <v>474</v>
      </c>
      <c r="B343" s="215">
        <v>67</v>
      </c>
      <c r="C343" s="215">
        <v>57</v>
      </c>
      <c r="D343" s="215">
        <v>57</v>
      </c>
      <c r="E343" s="215">
        <v>58</v>
      </c>
      <c r="F343" s="216">
        <f t="shared" si="11"/>
        <v>85.07462686567165</v>
      </c>
      <c r="G343" s="216">
        <f t="shared" si="12"/>
        <v>100</v>
      </c>
    </row>
    <row r="344" spans="1:7" ht="19.5" customHeight="1">
      <c r="A344" s="221" t="s">
        <v>475</v>
      </c>
      <c r="B344" s="215"/>
      <c r="C344" s="215"/>
      <c r="D344" s="215"/>
      <c r="E344" s="215">
        <v>2</v>
      </c>
      <c r="F344" s="216">
        <f t="shared" si="11"/>
        <v>0</v>
      </c>
      <c r="G344" s="216">
        <f t="shared" si="12"/>
        <v>0</v>
      </c>
    </row>
    <row r="345" spans="1:7" ht="19.5" customHeight="1">
      <c r="A345" s="221" t="s">
        <v>476</v>
      </c>
      <c r="B345" s="215">
        <f>SUM(B346:B348)</f>
        <v>37429</v>
      </c>
      <c r="C345" s="215">
        <f>SUM(C346:C348)</f>
        <v>35423</v>
      </c>
      <c r="D345" s="215">
        <f>SUM(D346:D348)</f>
        <v>7008</v>
      </c>
      <c r="E345" s="215">
        <f>SUM(E346:E348)</f>
        <v>13302</v>
      </c>
      <c r="F345" s="216">
        <f t="shared" si="11"/>
        <v>18.723449731491623</v>
      </c>
      <c r="G345" s="216">
        <f t="shared" si="12"/>
        <v>19.78375631651752</v>
      </c>
    </row>
    <row r="346" spans="1:7" ht="19.5" customHeight="1">
      <c r="A346" s="221" t="s">
        <v>477</v>
      </c>
      <c r="B346" s="215"/>
      <c r="C346" s="215"/>
      <c r="D346" s="215"/>
      <c r="E346" s="215">
        <v>13</v>
      </c>
      <c r="F346" s="216">
        <f t="shared" si="11"/>
        <v>0</v>
      </c>
      <c r="G346" s="216">
        <f t="shared" si="12"/>
        <v>0</v>
      </c>
    </row>
    <row r="347" spans="1:7" ht="19.5" customHeight="1">
      <c r="A347" s="221" t="s">
        <v>478</v>
      </c>
      <c r="B347" s="215"/>
      <c r="C347" s="215"/>
      <c r="D347" s="215"/>
      <c r="E347" s="215">
        <v>530</v>
      </c>
      <c r="F347" s="216">
        <f t="shared" si="11"/>
        <v>0</v>
      </c>
      <c r="G347" s="216">
        <f t="shared" si="12"/>
        <v>0</v>
      </c>
    </row>
    <row r="348" spans="1:7" ht="19.5" customHeight="1">
      <c r="A348" s="221" t="s">
        <v>479</v>
      </c>
      <c r="B348" s="215">
        <v>37429</v>
      </c>
      <c r="C348" s="215">
        <v>35423</v>
      </c>
      <c r="D348" s="215">
        <v>7008</v>
      </c>
      <c r="E348" s="215">
        <v>12759</v>
      </c>
      <c r="F348" s="216">
        <f t="shared" si="11"/>
        <v>18.723449731491623</v>
      </c>
      <c r="G348" s="216">
        <f t="shared" si="12"/>
        <v>19.78375631651752</v>
      </c>
    </row>
    <row r="349" spans="1:7" ht="19.5" customHeight="1">
      <c r="A349" s="221" t="s">
        <v>480</v>
      </c>
      <c r="B349" s="215">
        <f>SUM(B350)</f>
        <v>100</v>
      </c>
      <c r="C349" s="215">
        <f>SUM(C350)</f>
        <v>975</v>
      </c>
      <c r="D349" s="215">
        <f>SUM(D350)</f>
        <v>5</v>
      </c>
      <c r="E349" s="215">
        <f>SUM(E350)</f>
        <v>0</v>
      </c>
      <c r="F349" s="216">
        <f t="shared" si="11"/>
        <v>5</v>
      </c>
      <c r="G349" s="216">
        <f t="shared" si="12"/>
        <v>0.5128205128205128</v>
      </c>
    </row>
    <row r="350" spans="1:7" ht="19.5" customHeight="1">
      <c r="A350" s="221" t="s">
        <v>481</v>
      </c>
      <c r="B350" s="215">
        <v>100</v>
      </c>
      <c r="C350" s="215">
        <v>975</v>
      </c>
      <c r="D350" s="215">
        <v>5</v>
      </c>
      <c r="E350" s="215"/>
      <c r="F350" s="216">
        <f t="shared" si="11"/>
        <v>5</v>
      </c>
      <c r="G350" s="216">
        <f t="shared" si="12"/>
        <v>0.5128205128205128</v>
      </c>
    </row>
    <row r="351" spans="1:7" ht="19.5" customHeight="1">
      <c r="A351" s="221" t="s">
        <v>85</v>
      </c>
      <c r="B351" s="215">
        <f>SUM(B352,B354,B356,B358,B363,B365,B370,B373,B375)</f>
        <v>17482</v>
      </c>
      <c r="C351" s="215">
        <f>SUM(C352,C354,C356,C358,C363,C365,C370,C373,C375)</f>
        <v>41770</v>
      </c>
      <c r="D351" s="215">
        <f>SUM(D352,D354,D356,D358,D363,D365,D370,D373,D375)</f>
        <v>41710</v>
      </c>
      <c r="E351" s="215">
        <f>SUM(E352,E354,E356,E358,E363,E365,E370,E373,E375)</f>
        <v>24514</v>
      </c>
      <c r="F351" s="216">
        <f t="shared" si="11"/>
        <v>238.58826221256152</v>
      </c>
      <c r="G351" s="216">
        <f t="shared" si="12"/>
        <v>99.8563562365334</v>
      </c>
    </row>
    <row r="352" spans="1:7" ht="19.5" customHeight="1">
      <c r="A352" s="221" t="s">
        <v>482</v>
      </c>
      <c r="B352" s="215">
        <f>SUM(B353)</f>
        <v>0</v>
      </c>
      <c r="C352" s="215">
        <f>SUM(C353)</f>
        <v>0</v>
      </c>
      <c r="D352" s="215">
        <f>SUM(D353)</f>
        <v>0</v>
      </c>
      <c r="E352" s="215">
        <f>SUM(E353)</f>
        <v>140</v>
      </c>
      <c r="F352" s="216">
        <f t="shared" si="11"/>
        <v>0</v>
      </c>
      <c r="G352" s="216">
        <f t="shared" si="12"/>
        <v>0</v>
      </c>
    </row>
    <row r="353" spans="1:7" ht="19.5" customHeight="1">
      <c r="A353" s="221" t="s">
        <v>483</v>
      </c>
      <c r="B353" s="215"/>
      <c r="C353" s="215"/>
      <c r="D353" s="215"/>
      <c r="E353" s="215">
        <v>140</v>
      </c>
      <c r="F353" s="216">
        <f t="shared" si="11"/>
        <v>0</v>
      </c>
      <c r="G353" s="216">
        <f t="shared" si="12"/>
        <v>0</v>
      </c>
    </row>
    <row r="354" spans="1:7" ht="19.5" customHeight="1">
      <c r="A354" s="221" t="s">
        <v>484</v>
      </c>
      <c r="B354" s="215">
        <f>SUM(B355)</f>
        <v>0</v>
      </c>
      <c r="C354" s="215">
        <f>SUM(C355)</f>
        <v>0</v>
      </c>
      <c r="D354" s="215">
        <f>SUM(D355)</f>
        <v>0</v>
      </c>
      <c r="E354" s="215">
        <f>SUM(E355)</f>
        <v>10</v>
      </c>
      <c r="F354" s="216">
        <f t="shared" si="11"/>
        <v>0</v>
      </c>
      <c r="G354" s="216">
        <f t="shared" si="12"/>
        <v>0</v>
      </c>
    </row>
    <row r="355" spans="1:7" ht="19.5" customHeight="1">
      <c r="A355" s="221" t="s">
        <v>485</v>
      </c>
      <c r="B355" s="215"/>
      <c r="C355" s="215"/>
      <c r="D355" s="215"/>
      <c r="E355" s="215">
        <v>10</v>
      </c>
      <c r="F355" s="216">
        <f t="shared" si="11"/>
        <v>0</v>
      </c>
      <c r="G355" s="216">
        <f t="shared" si="12"/>
        <v>0</v>
      </c>
    </row>
    <row r="356" spans="1:7" ht="19.5" customHeight="1">
      <c r="A356" s="221" t="s">
        <v>486</v>
      </c>
      <c r="B356" s="215">
        <f>SUM(B357)</f>
        <v>0</v>
      </c>
      <c r="C356" s="215">
        <f>SUM(C357)</f>
        <v>115</v>
      </c>
      <c r="D356" s="215">
        <f>SUM(D357)</f>
        <v>115</v>
      </c>
      <c r="E356" s="215">
        <f>SUM(E357)</f>
        <v>443</v>
      </c>
      <c r="F356" s="216">
        <f t="shared" si="11"/>
        <v>0</v>
      </c>
      <c r="G356" s="216">
        <f t="shared" si="12"/>
        <v>100</v>
      </c>
    </row>
    <row r="357" spans="1:7" ht="19.5" customHeight="1">
      <c r="A357" s="221" t="s">
        <v>487</v>
      </c>
      <c r="B357" s="215"/>
      <c r="C357" s="215">
        <v>115</v>
      </c>
      <c r="D357" s="215">
        <v>115</v>
      </c>
      <c r="E357" s="215">
        <v>443</v>
      </c>
      <c r="F357" s="216">
        <f t="shared" si="11"/>
        <v>0</v>
      </c>
      <c r="G357" s="216">
        <f t="shared" si="12"/>
        <v>100</v>
      </c>
    </row>
    <row r="358" spans="1:7" ht="19.5" customHeight="1">
      <c r="A358" s="221" t="s">
        <v>488</v>
      </c>
      <c r="B358" s="215">
        <f>SUM(B359:B362)</f>
        <v>17237</v>
      </c>
      <c r="C358" s="215">
        <f>SUM(C359:C362)</f>
        <v>41410</v>
      </c>
      <c r="D358" s="215">
        <f>SUM(D359:D362)</f>
        <v>41350</v>
      </c>
      <c r="E358" s="215">
        <f>SUM(E359:E362)</f>
        <v>23369</v>
      </c>
      <c r="F358" s="216">
        <f t="shared" si="11"/>
        <v>239.89093229680338</v>
      </c>
      <c r="G358" s="216">
        <f t="shared" si="12"/>
        <v>99.8551074619657</v>
      </c>
    </row>
    <row r="359" spans="1:7" ht="19.5" customHeight="1">
      <c r="A359" s="221" t="s">
        <v>489</v>
      </c>
      <c r="B359" s="215"/>
      <c r="C359" s="215">
        <v>6039</v>
      </c>
      <c r="D359" s="215">
        <v>6039</v>
      </c>
      <c r="E359" s="215">
        <v>3213</v>
      </c>
      <c r="F359" s="216">
        <f t="shared" si="11"/>
        <v>0</v>
      </c>
      <c r="G359" s="216">
        <f t="shared" si="12"/>
        <v>100</v>
      </c>
    </row>
    <row r="360" spans="1:7" ht="19.5" customHeight="1">
      <c r="A360" s="221" t="s">
        <v>490</v>
      </c>
      <c r="B360" s="215">
        <v>17227</v>
      </c>
      <c r="C360" s="215">
        <v>27141</v>
      </c>
      <c r="D360" s="215">
        <v>27081</v>
      </c>
      <c r="E360" s="215">
        <v>8408</v>
      </c>
      <c r="F360" s="216">
        <f t="shared" si="11"/>
        <v>157.20090555523308</v>
      </c>
      <c r="G360" s="216">
        <f t="shared" si="12"/>
        <v>99.7789322427324</v>
      </c>
    </row>
    <row r="361" spans="1:7" ht="19.5" customHeight="1">
      <c r="A361" s="221" t="s">
        <v>491</v>
      </c>
      <c r="B361" s="215"/>
      <c r="C361" s="215"/>
      <c r="D361" s="215"/>
      <c r="E361" s="215">
        <v>435</v>
      </c>
      <c r="F361" s="216">
        <f t="shared" si="11"/>
        <v>0</v>
      </c>
      <c r="G361" s="216">
        <f t="shared" si="12"/>
        <v>0</v>
      </c>
    </row>
    <row r="362" spans="1:7" ht="19.5" customHeight="1">
      <c r="A362" s="221" t="s">
        <v>492</v>
      </c>
      <c r="B362" s="215">
        <v>10</v>
      </c>
      <c r="C362" s="215">
        <v>8230</v>
      </c>
      <c r="D362" s="215">
        <v>8230</v>
      </c>
      <c r="E362" s="215">
        <v>11313</v>
      </c>
      <c r="F362" s="216">
        <f t="shared" si="11"/>
        <v>82300</v>
      </c>
      <c r="G362" s="216">
        <f t="shared" si="12"/>
        <v>100</v>
      </c>
    </row>
    <row r="363" spans="1:7" ht="19.5" customHeight="1">
      <c r="A363" s="221" t="s">
        <v>493</v>
      </c>
      <c r="B363" s="215">
        <f>SUM(B364)</f>
        <v>0</v>
      </c>
      <c r="C363" s="215">
        <f>SUM(C364)</f>
        <v>0</v>
      </c>
      <c r="D363" s="215">
        <f>SUM(D364)</f>
        <v>0</v>
      </c>
      <c r="E363" s="215">
        <f>SUM(E364)</f>
        <v>120</v>
      </c>
      <c r="F363" s="216">
        <f t="shared" si="11"/>
        <v>0</v>
      </c>
      <c r="G363" s="216">
        <f t="shared" si="12"/>
        <v>0</v>
      </c>
    </row>
    <row r="364" spans="1:7" ht="19.5" customHeight="1">
      <c r="A364" s="221" t="s">
        <v>494</v>
      </c>
      <c r="B364" s="215"/>
      <c r="C364" s="215"/>
      <c r="D364" s="215"/>
      <c r="E364" s="215">
        <v>120</v>
      </c>
      <c r="F364" s="216">
        <f t="shared" si="11"/>
        <v>0</v>
      </c>
      <c r="G364" s="216">
        <f t="shared" si="12"/>
        <v>0</v>
      </c>
    </row>
    <row r="365" spans="1:7" ht="19.5" customHeight="1">
      <c r="A365" s="221" t="s">
        <v>495</v>
      </c>
      <c r="B365" s="215">
        <f>SUM(B366:B368)</f>
        <v>245</v>
      </c>
      <c r="C365" s="215">
        <f>SUM(C366:C369)</f>
        <v>245</v>
      </c>
      <c r="D365" s="215">
        <f>SUM(D366:D369)</f>
        <v>245</v>
      </c>
      <c r="E365" s="215">
        <f>SUM(E366:E368)</f>
        <v>343</v>
      </c>
      <c r="F365" s="216">
        <f t="shared" si="11"/>
        <v>100</v>
      </c>
      <c r="G365" s="216">
        <f t="shared" si="12"/>
        <v>100</v>
      </c>
    </row>
    <row r="366" spans="1:7" ht="19.5" customHeight="1">
      <c r="A366" s="221" t="s">
        <v>496</v>
      </c>
      <c r="B366" s="215">
        <v>219</v>
      </c>
      <c r="C366" s="215">
        <v>219</v>
      </c>
      <c r="D366" s="215">
        <v>219</v>
      </c>
      <c r="E366" s="215">
        <v>343</v>
      </c>
      <c r="F366" s="216">
        <f t="shared" si="11"/>
        <v>100</v>
      </c>
      <c r="G366" s="216">
        <f t="shared" si="12"/>
        <v>100</v>
      </c>
    </row>
    <row r="367" spans="1:7" ht="19.5" customHeight="1">
      <c r="A367" s="221" t="s">
        <v>497</v>
      </c>
      <c r="B367" s="215">
        <v>10</v>
      </c>
      <c r="C367" s="215">
        <v>10</v>
      </c>
      <c r="D367" s="215">
        <v>10</v>
      </c>
      <c r="E367" s="215"/>
      <c r="F367" s="216"/>
      <c r="G367" s="216"/>
    </row>
    <row r="368" spans="1:7" ht="19.5" customHeight="1">
      <c r="A368" s="221" t="s">
        <v>498</v>
      </c>
      <c r="B368" s="215">
        <v>16</v>
      </c>
      <c r="C368" s="215"/>
      <c r="D368" s="215"/>
      <c r="E368" s="215"/>
      <c r="F368" s="216">
        <f t="shared" si="11"/>
        <v>0</v>
      </c>
      <c r="G368" s="216">
        <f t="shared" si="12"/>
        <v>0</v>
      </c>
    </row>
    <row r="369" spans="1:7" ht="19.5" customHeight="1">
      <c r="A369" s="221" t="s">
        <v>499</v>
      </c>
      <c r="B369" s="215"/>
      <c r="C369" s="215">
        <v>16</v>
      </c>
      <c r="D369" s="215">
        <v>16</v>
      </c>
      <c r="E369" s="215"/>
      <c r="F369" s="216"/>
      <c r="G369" s="216"/>
    </row>
    <row r="370" spans="1:7" ht="19.5" customHeight="1">
      <c r="A370" s="221" t="s">
        <v>500</v>
      </c>
      <c r="B370" s="215">
        <f>SUM(B371:B372)</f>
        <v>0</v>
      </c>
      <c r="C370" s="215">
        <f>SUM(C371:C372)</f>
        <v>0</v>
      </c>
      <c r="D370" s="215">
        <f>SUM(D371:D372)</f>
        <v>0</v>
      </c>
      <c r="E370" s="215">
        <f>SUM(E371:E372)</f>
        <v>89</v>
      </c>
      <c r="F370" s="216">
        <f t="shared" si="11"/>
        <v>0</v>
      </c>
      <c r="G370" s="216">
        <f t="shared" si="12"/>
        <v>0</v>
      </c>
    </row>
    <row r="371" spans="1:7" ht="19.5" customHeight="1">
      <c r="A371" s="221" t="s">
        <v>501</v>
      </c>
      <c r="B371" s="215"/>
      <c r="C371" s="215"/>
      <c r="D371" s="215"/>
      <c r="E371" s="215"/>
      <c r="F371" s="216">
        <f t="shared" si="11"/>
        <v>0</v>
      </c>
      <c r="G371" s="216">
        <f t="shared" si="12"/>
        <v>0</v>
      </c>
    </row>
    <row r="372" spans="1:7" ht="19.5" customHeight="1">
      <c r="A372" s="221" t="s">
        <v>502</v>
      </c>
      <c r="B372" s="215"/>
      <c r="C372" s="215"/>
      <c r="D372" s="215"/>
      <c r="E372" s="215">
        <v>89</v>
      </c>
      <c r="F372" s="216">
        <f t="shared" si="11"/>
        <v>0</v>
      </c>
      <c r="G372" s="216">
        <f t="shared" si="12"/>
        <v>0</v>
      </c>
    </row>
    <row r="373" spans="1:7" ht="19.5" customHeight="1">
      <c r="A373" s="221" t="s">
        <v>503</v>
      </c>
      <c r="B373" s="215">
        <f>SUM(B374)</f>
        <v>0</v>
      </c>
      <c r="C373" s="215">
        <f>SUM(C374)</f>
        <v>0</v>
      </c>
      <c r="D373" s="215">
        <f>SUM(D374)</f>
        <v>0</v>
      </c>
      <c r="E373" s="215">
        <f>SUM(E374)</f>
        <v>0</v>
      </c>
      <c r="F373" s="216">
        <f t="shared" si="11"/>
        <v>0</v>
      </c>
      <c r="G373" s="216">
        <f t="shared" si="12"/>
        <v>0</v>
      </c>
    </row>
    <row r="374" spans="1:7" ht="19.5" customHeight="1">
      <c r="A374" s="221" t="s">
        <v>504</v>
      </c>
      <c r="B374" s="215"/>
      <c r="C374" s="215"/>
      <c r="D374" s="215"/>
      <c r="E374" s="215"/>
      <c r="F374" s="216">
        <f t="shared" si="11"/>
        <v>0</v>
      </c>
      <c r="G374" s="216">
        <f t="shared" si="12"/>
        <v>0</v>
      </c>
    </row>
    <row r="375" spans="1:7" ht="19.5" customHeight="1">
      <c r="A375" s="221" t="s">
        <v>505</v>
      </c>
      <c r="B375" s="215">
        <f>SUM(B376)</f>
        <v>0</v>
      </c>
      <c r="C375" s="215">
        <f>SUM(C376)</f>
        <v>0</v>
      </c>
      <c r="D375" s="215">
        <f>SUM(D376)</f>
        <v>0</v>
      </c>
      <c r="E375" s="215">
        <f>SUM(E376)</f>
        <v>0</v>
      </c>
      <c r="F375" s="216">
        <f t="shared" si="11"/>
        <v>0</v>
      </c>
      <c r="G375" s="216">
        <f t="shared" si="12"/>
        <v>0</v>
      </c>
    </row>
    <row r="376" spans="1:7" ht="19.5" customHeight="1">
      <c r="A376" s="221" t="s">
        <v>506</v>
      </c>
      <c r="B376" s="215"/>
      <c r="C376" s="215"/>
      <c r="D376" s="215"/>
      <c r="E376" s="215"/>
      <c r="F376" s="216">
        <f t="shared" si="11"/>
        <v>0</v>
      </c>
      <c r="G376" s="216">
        <f t="shared" si="12"/>
        <v>0</v>
      </c>
    </row>
    <row r="377" spans="1:7" ht="19.5" customHeight="1">
      <c r="A377" s="221" t="s">
        <v>507</v>
      </c>
      <c r="B377" s="215">
        <f>SUM(B378,B386,B388,B395,B400)</f>
        <v>7964</v>
      </c>
      <c r="C377" s="215">
        <f>SUM(C378,C386,C388,C395,C397,C400)</f>
        <v>10370</v>
      </c>
      <c r="D377" s="215">
        <f>SUM(D378,D386,D388,D395,D397,D400)</f>
        <v>10370</v>
      </c>
      <c r="E377" s="215">
        <f>SUM(E378,E386,E388,E395,E400)</f>
        <v>7534</v>
      </c>
      <c r="F377" s="216">
        <f t="shared" si="11"/>
        <v>130.21094927172274</v>
      </c>
      <c r="G377" s="216">
        <f t="shared" si="12"/>
        <v>100</v>
      </c>
    </row>
    <row r="378" spans="1:7" ht="19.5" customHeight="1">
      <c r="A378" s="221" t="s">
        <v>508</v>
      </c>
      <c r="B378" s="215">
        <f>SUM(B379:B385)</f>
        <v>6364</v>
      </c>
      <c r="C378" s="215">
        <f>SUM(C379:C385)</f>
        <v>8351</v>
      </c>
      <c r="D378" s="215">
        <f>SUM(D379:D385)</f>
        <v>8351</v>
      </c>
      <c r="E378" s="215">
        <f>SUM(E379:E385)</f>
        <v>6536</v>
      </c>
      <c r="F378" s="216">
        <f t="shared" si="11"/>
        <v>131.2225015713388</v>
      </c>
      <c r="G378" s="216">
        <f t="shared" si="12"/>
        <v>100</v>
      </c>
    </row>
    <row r="379" spans="1:7" ht="19.5" customHeight="1">
      <c r="A379" s="221" t="s">
        <v>509</v>
      </c>
      <c r="B379" s="215">
        <v>6</v>
      </c>
      <c r="C379" s="215">
        <v>6</v>
      </c>
      <c r="D379" s="215">
        <v>6</v>
      </c>
      <c r="E379" s="215"/>
      <c r="F379" s="216">
        <f t="shared" si="11"/>
        <v>100</v>
      </c>
      <c r="G379" s="216">
        <f t="shared" si="12"/>
        <v>100</v>
      </c>
    </row>
    <row r="380" spans="1:7" ht="19.5" customHeight="1">
      <c r="A380" s="221" t="s">
        <v>510</v>
      </c>
      <c r="B380" s="215">
        <v>533</v>
      </c>
      <c r="C380" s="215">
        <v>510</v>
      </c>
      <c r="D380" s="215">
        <v>510</v>
      </c>
      <c r="E380" s="215">
        <v>571</v>
      </c>
      <c r="F380" s="216">
        <f t="shared" si="11"/>
        <v>95.68480300187618</v>
      </c>
      <c r="G380" s="216">
        <f t="shared" si="12"/>
        <v>100</v>
      </c>
    </row>
    <row r="381" spans="1:7" ht="19.5" customHeight="1">
      <c r="A381" s="221" t="s">
        <v>511</v>
      </c>
      <c r="B381" s="215">
        <v>50</v>
      </c>
      <c r="C381" s="215">
        <v>118</v>
      </c>
      <c r="D381" s="215">
        <v>118</v>
      </c>
      <c r="E381" s="215">
        <v>10</v>
      </c>
      <c r="F381" s="216">
        <f>IF(B381=0,0,D381/B381*100)</f>
        <v>236</v>
      </c>
      <c r="G381" s="216">
        <f>IF(D381=0,0,D381/C381*100)</f>
        <v>100</v>
      </c>
    </row>
    <row r="382" spans="1:7" ht="19.5" customHeight="1">
      <c r="A382" s="221" t="s">
        <v>512</v>
      </c>
      <c r="B382" s="215">
        <v>865</v>
      </c>
      <c r="C382" s="215">
        <v>1290</v>
      </c>
      <c r="D382" s="215">
        <v>1290</v>
      </c>
      <c r="E382" s="215">
        <v>996</v>
      </c>
      <c r="F382" s="216">
        <f t="shared" si="11"/>
        <v>149.13294797687863</v>
      </c>
      <c r="G382" s="216">
        <f t="shared" si="12"/>
        <v>100</v>
      </c>
    </row>
    <row r="383" spans="1:7" ht="19.5" customHeight="1">
      <c r="A383" s="221" t="s">
        <v>513</v>
      </c>
      <c r="B383" s="215">
        <v>43</v>
      </c>
      <c r="C383" s="215">
        <v>43</v>
      </c>
      <c r="D383" s="215">
        <v>43</v>
      </c>
      <c r="E383" s="215">
        <v>43</v>
      </c>
      <c r="F383" s="216">
        <f t="shared" si="11"/>
        <v>100</v>
      </c>
      <c r="G383" s="216">
        <f t="shared" si="12"/>
        <v>100</v>
      </c>
    </row>
    <row r="384" spans="1:7" ht="19.5" customHeight="1">
      <c r="A384" s="221" t="s">
        <v>514</v>
      </c>
      <c r="B384" s="215">
        <v>37</v>
      </c>
      <c r="C384" s="215">
        <v>37</v>
      </c>
      <c r="D384" s="215">
        <v>37</v>
      </c>
      <c r="E384" s="215">
        <v>10</v>
      </c>
      <c r="F384" s="216">
        <f aca="true" t="shared" si="13" ref="F384:F460">IF(B384=0,0,D384/B384*100)</f>
        <v>100</v>
      </c>
      <c r="G384" s="216">
        <f aca="true" t="shared" si="14" ref="G384:G460">IF(D384=0,0,D384/C384*100)</f>
        <v>100</v>
      </c>
    </row>
    <row r="385" spans="1:7" ht="19.5" customHeight="1">
      <c r="A385" s="221" t="s">
        <v>515</v>
      </c>
      <c r="B385" s="215">
        <v>4830</v>
      </c>
      <c r="C385" s="215">
        <v>6347</v>
      </c>
      <c r="D385" s="215">
        <v>6347</v>
      </c>
      <c r="E385" s="215">
        <v>4906</v>
      </c>
      <c r="F385" s="216">
        <f t="shared" si="13"/>
        <v>131.40786749482402</v>
      </c>
      <c r="G385" s="216">
        <f t="shared" si="14"/>
        <v>100</v>
      </c>
    </row>
    <row r="386" spans="1:7" ht="19.5" customHeight="1">
      <c r="A386" s="221" t="s">
        <v>516</v>
      </c>
      <c r="B386" s="215">
        <f>SUM(B387)</f>
        <v>200</v>
      </c>
      <c r="C386" s="215">
        <f>SUM(C387)</f>
        <v>58</v>
      </c>
      <c r="D386" s="215">
        <f>SUM(D387)</f>
        <v>58</v>
      </c>
      <c r="E386" s="215">
        <f>SUM(E387)</f>
        <v>96</v>
      </c>
      <c r="F386" s="216">
        <f t="shared" si="13"/>
        <v>28.999999999999996</v>
      </c>
      <c r="G386" s="216">
        <f t="shared" si="14"/>
        <v>100</v>
      </c>
    </row>
    <row r="387" spans="1:7" ht="19.5" customHeight="1">
      <c r="A387" s="221" t="s">
        <v>517</v>
      </c>
      <c r="B387" s="215">
        <v>200</v>
      </c>
      <c r="C387" s="215">
        <v>58</v>
      </c>
      <c r="D387" s="215">
        <v>58</v>
      </c>
      <c r="E387" s="215">
        <v>96</v>
      </c>
      <c r="F387" s="216">
        <f t="shared" si="13"/>
        <v>28.999999999999996</v>
      </c>
      <c r="G387" s="216">
        <f t="shared" si="14"/>
        <v>100</v>
      </c>
    </row>
    <row r="388" spans="1:7" ht="19.5" customHeight="1">
      <c r="A388" s="221" t="s">
        <v>518</v>
      </c>
      <c r="B388" s="215">
        <f>SUM(B389:B394)</f>
        <v>1001</v>
      </c>
      <c r="C388" s="215">
        <f>SUM(C389:C394)</f>
        <v>1407</v>
      </c>
      <c r="D388" s="215">
        <f>SUM(D389:D394)</f>
        <v>1407</v>
      </c>
      <c r="E388" s="215">
        <f>SUM(E389:E394)</f>
        <v>652</v>
      </c>
      <c r="F388" s="216">
        <f t="shared" si="13"/>
        <v>140.55944055944056</v>
      </c>
      <c r="G388" s="216">
        <f t="shared" si="14"/>
        <v>100</v>
      </c>
    </row>
    <row r="389" spans="1:7" ht="19.5" customHeight="1">
      <c r="A389" s="221" t="s">
        <v>519</v>
      </c>
      <c r="B389" s="215">
        <v>31</v>
      </c>
      <c r="C389" s="215">
        <v>31</v>
      </c>
      <c r="D389" s="215">
        <v>31</v>
      </c>
      <c r="E389" s="215">
        <v>7</v>
      </c>
      <c r="F389" s="216">
        <f t="shared" si="13"/>
        <v>100</v>
      </c>
      <c r="G389" s="216">
        <f t="shared" si="14"/>
        <v>100</v>
      </c>
    </row>
    <row r="390" spans="1:7" ht="19.5" customHeight="1">
      <c r="A390" s="221" t="s">
        <v>520</v>
      </c>
      <c r="B390" s="215">
        <v>273</v>
      </c>
      <c r="C390" s="215">
        <v>273</v>
      </c>
      <c r="D390" s="215">
        <v>273</v>
      </c>
      <c r="E390" s="215">
        <v>9</v>
      </c>
      <c r="F390" s="216">
        <f t="shared" si="13"/>
        <v>100</v>
      </c>
      <c r="G390" s="216">
        <f t="shared" si="14"/>
        <v>100</v>
      </c>
    </row>
    <row r="391" spans="1:7" ht="19.5" customHeight="1">
      <c r="A391" s="221" t="s">
        <v>521</v>
      </c>
      <c r="B391" s="215">
        <v>30</v>
      </c>
      <c r="C391" s="215">
        <v>30</v>
      </c>
      <c r="D391" s="215">
        <v>30</v>
      </c>
      <c r="E391" s="215">
        <v>20</v>
      </c>
      <c r="F391" s="216">
        <f t="shared" si="13"/>
        <v>100</v>
      </c>
      <c r="G391" s="216">
        <f t="shared" si="14"/>
        <v>100</v>
      </c>
    </row>
    <row r="392" spans="1:7" ht="19.5" customHeight="1">
      <c r="A392" s="221" t="s">
        <v>522</v>
      </c>
      <c r="B392" s="215">
        <v>10</v>
      </c>
      <c r="C392" s="215">
        <v>10</v>
      </c>
      <c r="D392" s="215">
        <v>10</v>
      </c>
      <c r="E392" s="215"/>
      <c r="F392" s="216"/>
      <c r="G392" s="216"/>
    </row>
    <row r="393" spans="1:7" ht="19.5" customHeight="1">
      <c r="A393" s="221" t="s">
        <v>523</v>
      </c>
      <c r="B393" s="215">
        <v>638</v>
      </c>
      <c r="C393" s="215">
        <v>1044</v>
      </c>
      <c r="D393" s="215">
        <v>1044</v>
      </c>
      <c r="E393" s="215">
        <v>616</v>
      </c>
      <c r="F393" s="216"/>
      <c r="G393" s="216"/>
    </row>
    <row r="394" spans="1:7" ht="19.5" customHeight="1">
      <c r="A394" s="221" t="s">
        <v>524</v>
      </c>
      <c r="B394" s="215">
        <v>19</v>
      </c>
      <c r="C394" s="215">
        <v>19</v>
      </c>
      <c r="D394" s="215">
        <v>19</v>
      </c>
      <c r="E394" s="215"/>
      <c r="F394" s="216">
        <f t="shared" si="13"/>
        <v>100</v>
      </c>
      <c r="G394" s="216">
        <f t="shared" si="14"/>
        <v>100</v>
      </c>
    </row>
    <row r="395" spans="1:7" ht="19.5" customHeight="1">
      <c r="A395" s="221" t="s">
        <v>525</v>
      </c>
      <c r="B395" s="215">
        <f>SUM(B396)</f>
        <v>399</v>
      </c>
      <c r="C395" s="215">
        <f>SUM(C396)</f>
        <v>0</v>
      </c>
      <c r="D395" s="215">
        <f>SUM(D396)</f>
        <v>0</v>
      </c>
      <c r="E395" s="215">
        <f>SUM(E396)</f>
        <v>250</v>
      </c>
      <c r="F395" s="216">
        <f t="shared" si="13"/>
        <v>0</v>
      </c>
      <c r="G395" s="216">
        <f t="shared" si="14"/>
        <v>0</v>
      </c>
    </row>
    <row r="396" spans="1:7" ht="19.5" customHeight="1">
      <c r="A396" s="221" t="s">
        <v>526</v>
      </c>
      <c r="B396" s="215">
        <v>399</v>
      </c>
      <c r="C396" s="215"/>
      <c r="D396" s="215"/>
      <c r="E396" s="215">
        <v>250</v>
      </c>
      <c r="F396" s="216">
        <f t="shared" si="13"/>
        <v>0</v>
      </c>
      <c r="G396" s="216">
        <f t="shared" si="14"/>
        <v>0</v>
      </c>
    </row>
    <row r="397" spans="1:7" ht="19.5" customHeight="1">
      <c r="A397" s="221" t="s">
        <v>527</v>
      </c>
      <c r="B397" s="252">
        <f>SUM(B398:B399)</f>
        <v>0</v>
      </c>
      <c r="C397" s="252">
        <f>SUM(C398:C399)</f>
        <v>414</v>
      </c>
      <c r="D397" s="252">
        <f>SUM(D398:D399)</f>
        <v>414</v>
      </c>
      <c r="E397" s="215"/>
      <c r="F397" s="216"/>
      <c r="G397" s="216"/>
    </row>
    <row r="398" spans="1:7" ht="19.5" customHeight="1">
      <c r="A398" s="221" t="s">
        <v>528</v>
      </c>
      <c r="B398" s="215"/>
      <c r="C398" s="252">
        <v>399</v>
      </c>
      <c r="D398" s="252">
        <v>399</v>
      </c>
      <c r="E398" s="215"/>
      <c r="F398" s="216"/>
      <c r="G398" s="216"/>
    </row>
    <row r="399" spans="1:7" ht="19.5" customHeight="1">
      <c r="A399" s="221" t="s">
        <v>529</v>
      </c>
      <c r="B399" s="215"/>
      <c r="C399" s="255">
        <v>15</v>
      </c>
      <c r="D399" s="255">
        <v>15</v>
      </c>
      <c r="E399" s="215"/>
      <c r="F399" s="216"/>
      <c r="G399" s="216"/>
    </row>
    <row r="400" spans="1:7" ht="19.5" customHeight="1">
      <c r="A400" s="221" t="s">
        <v>530</v>
      </c>
      <c r="B400" s="215">
        <f>SUM(B402:B403)</f>
        <v>0</v>
      </c>
      <c r="C400" s="215">
        <f>SUM(C401:C403)</f>
        <v>140</v>
      </c>
      <c r="D400" s="215">
        <f>SUM(D401:D403)</f>
        <v>140</v>
      </c>
      <c r="E400" s="215">
        <f>SUM(E402:E403)</f>
        <v>0</v>
      </c>
      <c r="F400" s="216">
        <f t="shared" si="13"/>
        <v>0</v>
      </c>
      <c r="G400" s="216">
        <f t="shared" si="14"/>
        <v>100</v>
      </c>
    </row>
    <row r="401" spans="1:7" ht="19.5" customHeight="1">
      <c r="A401" s="237" t="s">
        <v>531</v>
      </c>
      <c r="B401" s="215"/>
      <c r="C401" s="215">
        <v>20</v>
      </c>
      <c r="D401" s="215">
        <v>20</v>
      </c>
      <c r="E401" s="215"/>
      <c r="F401" s="216"/>
      <c r="G401" s="216"/>
    </row>
    <row r="402" spans="1:7" ht="19.5" customHeight="1">
      <c r="A402" s="237" t="s">
        <v>532</v>
      </c>
      <c r="B402" s="215"/>
      <c r="C402" s="215"/>
      <c r="D402" s="215"/>
      <c r="E402" s="215"/>
      <c r="F402" s="216">
        <f t="shared" si="13"/>
        <v>0</v>
      </c>
      <c r="G402" s="216">
        <f t="shared" si="14"/>
        <v>0</v>
      </c>
    </row>
    <row r="403" spans="1:7" ht="19.5" customHeight="1">
      <c r="A403" s="221" t="s">
        <v>533</v>
      </c>
      <c r="B403" s="215"/>
      <c r="C403" s="215">
        <v>120</v>
      </c>
      <c r="D403" s="215">
        <v>120</v>
      </c>
      <c r="E403" s="215"/>
      <c r="F403" s="216">
        <f t="shared" si="13"/>
        <v>0</v>
      </c>
      <c r="G403" s="216">
        <f t="shared" si="14"/>
        <v>100</v>
      </c>
    </row>
    <row r="404" spans="1:7" ht="19.5" customHeight="1">
      <c r="A404" s="221" t="s">
        <v>87</v>
      </c>
      <c r="B404" s="215">
        <f>SUM(B405,B412,B418,B422,B424,B429,B436,B443,B448,B454,B456,B459,B462,B464,B467,B469,B473)</f>
        <v>55439</v>
      </c>
      <c r="C404" s="215">
        <f>SUM(C405,C412,C418,C422,C424,C429,C436,C443,C448,C454,C456,C459,C462,C464,C467,C469,C473)-3</f>
        <v>87816</v>
      </c>
      <c r="D404" s="215">
        <f>SUM(D405,D412,D418,D422,D424,D429,D436,D443,D448,D454,D456,D459,D462,D464,D467,D469,D473)</f>
        <v>78846</v>
      </c>
      <c r="E404" s="215">
        <f>SUM(E405,E412,E418,E422,E424,E429,E436,E443,E448,E454,E456,E459,E462,E464,E467,E469,E473)</f>
        <v>61610</v>
      </c>
      <c r="F404" s="216">
        <f t="shared" si="13"/>
        <v>142.22118003571492</v>
      </c>
      <c r="G404" s="216">
        <f t="shared" si="14"/>
        <v>89.78546050833562</v>
      </c>
    </row>
    <row r="405" spans="1:7" ht="19.5" customHeight="1">
      <c r="A405" s="221" t="s">
        <v>534</v>
      </c>
      <c r="B405" s="215">
        <f>SUM(B406:B411)</f>
        <v>1240</v>
      </c>
      <c r="C405" s="215">
        <f>SUM(C406:C411)</f>
        <v>1559</v>
      </c>
      <c r="D405" s="215">
        <f>SUM(D406:D411)</f>
        <v>1559</v>
      </c>
      <c r="E405" s="215">
        <f>SUM(E406:E411)</f>
        <v>327</v>
      </c>
      <c r="F405" s="216">
        <f t="shared" si="13"/>
        <v>125.72580645161291</v>
      </c>
      <c r="G405" s="216">
        <f t="shared" si="14"/>
        <v>100</v>
      </c>
    </row>
    <row r="406" spans="1:7" ht="19.5" customHeight="1">
      <c r="A406" s="221" t="s">
        <v>535</v>
      </c>
      <c r="B406" s="215"/>
      <c r="C406" s="215">
        <v>202</v>
      </c>
      <c r="D406" s="215">
        <v>202</v>
      </c>
      <c r="E406" s="215"/>
      <c r="F406" s="216">
        <f t="shared" si="13"/>
        <v>0</v>
      </c>
      <c r="G406" s="216">
        <f t="shared" si="14"/>
        <v>100</v>
      </c>
    </row>
    <row r="407" spans="1:7" ht="19.5" customHeight="1">
      <c r="A407" s="221" t="s">
        <v>536</v>
      </c>
      <c r="B407" s="215">
        <v>116</v>
      </c>
      <c r="C407" s="215">
        <v>81</v>
      </c>
      <c r="D407" s="215">
        <v>81</v>
      </c>
      <c r="E407" s="215">
        <v>11</v>
      </c>
      <c r="F407" s="216">
        <f t="shared" si="13"/>
        <v>69.82758620689656</v>
      </c>
      <c r="G407" s="216">
        <f t="shared" si="14"/>
        <v>100</v>
      </c>
    </row>
    <row r="408" spans="1:7" ht="19.5" customHeight="1">
      <c r="A408" s="221" t="s">
        <v>537</v>
      </c>
      <c r="B408" s="215"/>
      <c r="C408" s="215"/>
      <c r="D408" s="215"/>
      <c r="E408" s="215">
        <v>128</v>
      </c>
      <c r="F408" s="216">
        <f t="shared" si="13"/>
        <v>0</v>
      </c>
      <c r="G408" s="216">
        <f t="shared" si="14"/>
        <v>0</v>
      </c>
    </row>
    <row r="409" spans="1:7" ht="19.5" customHeight="1">
      <c r="A409" s="221" t="s">
        <v>538</v>
      </c>
      <c r="B409" s="215">
        <v>108</v>
      </c>
      <c r="C409" s="215">
        <v>87</v>
      </c>
      <c r="D409" s="215">
        <v>87</v>
      </c>
      <c r="E409" s="215">
        <v>40</v>
      </c>
      <c r="F409" s="216">
        <f t="shared" si="13"/>
        <v>80.55555555555556</v>
      </c>
      <c r="G409" s="216">
        <f t="shared" si="14"/>
        <v>100</v>
      </c>
    </row>
    <row r="410" spans="1:7" ht="19.5" customHeight="1">
      <c r="A410" s="221" t="s">
        <v>539</v>
      </c>
      <c r="B410" s="215">
        <v>10</v>
      </c>
      <c r="C410" s="215">
        <v>3</v>
      </c>
      <c r="D410" s="215">
        <v>3</v>
      </c>
      <c r="E410" s="215">
        <v>0</v>
      </c>
      <c r="F410" s="216">
        <f t="shared" si="13"/>
        <v>30</v>
      </c>
      <c r="G410" s="216">
        <f t="shared" si="14"/>
        <v>100</v>
      </c>
    </row>
    <row r="411" spans="1:7" ht="19.5" customHeight="1">
      <c r="A411" s="221" t="s">
        <v>540</v>
      </c>
      <c r="B411" s="215">
        <v>1006</v>
      </c>
      <c r="C411" s="215">
        <v>1186</v>
      </c>
      <c r="D411" s="215">
        <v>1186</v>
      </c>
      <c r="E411" s="215">
        <v>148</v>
      </c>
      <c r="F411" s="216">
        <f t="shared" si="13"/>
        <v>117.89264413518887</v>
      </c>
      <c r="G411" s="216">
        <f t="shared" si="14"/>
        <v>100</v>
      </c>
    </row>
    <row r="412" spans="1:7" ht="19.5" customHeight="1">
      <c r="A412" s="221" t="s">
        <v>541</v>
      </c>
      <c r="B412" s="215">
        <f>SUM(B413:B417)</f>
        <v>10098</v>
      </c>
      <c r="C412" s="215">
        <f>SUM(C413:C417)</f>
        <v>10918</v>
      </c>
      <c r="D412" s="215">
        <f>SUM(D413:D417)</f>
        <v>10666</v>
      </c>
      <c r="E412" s="215">
        <f>SUM(E413:E417)</f>
        <v>11436</v>
      </c>
      <c r="F412" s="216">
        <f t="shared" si="13"/>
        <v>105.62487621311152</v>
      </c>
      <c r="G412" s="216">
        <f t="shared" si="14"/>
        <v>97.6918849606155</v>
      </c>
    </row>
    <row r="413" spans="1:7" ht="19.5" customHeight="1">
      <c r="A413" s="221" t="s">
        <v>542</v>
      </c>
      <c r="B413" s="215">
        <v>412</v>
      </c>
      <c r="C413" s="215">
        <v>653</v>
      </c>
      <c r="D413" s="215">
        <v>643</v>
      </c>
      <c r="E413" s="215">
        <v>87</v>
      </c>
      <c r="F413" s="216">
        <f t="shared" si="13"/>
        <v>156.06796116504856</v>
      </c>
      <c r="G413" s="216">
        <f t="shared" si="14"/>
        <v>98.46860643185299</v>
      </c>
    </row>
    <row r="414" spans="1:7" ht="19.5" customHeight="1">
      <c r="A414" s="221" t="s">
        <v>543</v>
      </c>
      <c r="B414" s="215"/>
      <c r="C414" s="215"/>
      <c r="D414" s="215"/>
      <c r="E414" s="215">
        <v>0</v>
      </c>
      <c r="F414" s="216">
        <f t="shared" si="13"/>
        <v>0</v>
      </c>
      <c r="G414" s="216">
        <f t="shared" si="14"/>
        <v>0</v>
      </c>
    </row>
    <row r="415" spans="1:7" ht="19.5" customHeight="1">
      <c r="A415" s="221" t="s">
        <v>544</v>
      </c>
      <c r="B415" s="215"/>
      <c r="C415" s="215"/>
      <c r="D415" s="215"/>
      <c r="E415" s="215">
        <v>211</v>
      </c>
      <c r="F415" s="216">
        <f t="shared" si="13"/>
        <v>0</v>
      </c>
      <c r="G415" s="216">
        <f t="shared" si="14"/>
        <v>0</v>
      </c>
    </row>
    <row r="416" spans="1:7" ht="19.5" customHeight="1">
      <c r="A416" s="221" t="s">
        <v>545</v>
      </c>
      <c r="B416" s="215">
        <v>9110</v>
      </c>
      <c r="C416" s="215">
        <v>9749</v>
      </c>
      <c r="D416" s="215">
        <v>9507</v>
      </c>
      <c r="E416" s="215">
        <v>11029</v>
      </c>
      <c r="F416" s="216">
        <f t="shared" si="13"/>
        <v>104.35784851811196</v>
      </c>
      <c r="G416" s="216">
        <f t="shared" si="14"/>
        <v>97.5176941224741</v>
      </c>
    </row>
    <row r="417" spans="1:7" ht="19.5" customHeight="1">
      <c r="A417" s="221" t="s">
        <v>546</v>
      </c>
      <c r="B417" s="215">
        <v>576</v>
      </c>
      <c r="C417" s="215">
        <v>516</v>
      </c>
      <c r="D417" s="215">
        <v>516</v>
      </c>
      <c r="E417" s="215">
        <v>109</v>
      </c>
      <c r="F417" s="216">
        <f t="shared" si="13"/>
        <v>89.58333333333334</v>
      </c>
      <c r="G417" s="216">
        <f t="shared" si="14"/>
        <v>100</v>
      </c>
    </row>
    <row r="418" spans="1:7" ht="19.5" customHeight="1">
      <c r="A418" s="221" t="s">
        <v>547</v>
      </c>
      <c r="B418" s="215">
        <f>SUM(B419:B421)</f>
        <v>15008</v>
      </c>
      <c r="C418" s="215">
        <f>SUM(C419:C421)</f>
        <v>15008</v>
      </c>
      <c r="D418" s="215">
        <f>SUM(D419:D421)</f>
        <v>15008</v>
      </c>
      <c r="E418" s="215">
        <f>SUM(E419:E421)</f>
        <v>13080</v>
      </c>
      <c r="F418" s="216">
        <f t="shared" si="13"/>
        <v>100</v>
      </c>
      <c r="G418" s="216">
        <f t="shared" si="14"/>
        <v>100</v>
      </c>
    </row>
    <row r="419" spans="1:7" ht="19.5" customHeight="1">
      <c r="A419" s="221" t="s">
        <v>548</v>
      </c>
      <c r="B419" s="215">
        <v>8</v>
      </c>
      <c r="C419" s="215">
        <v>8</v>
      </c>
      <c r="D419" s="215">
        <v>8</v>
      </c>
      <c r="E419" s="215">
        <v>7</v>
      </c>
      <c r="F419" s="216">
        <f t="shared" si="13"/>
        <v>100</v>
      </c>
      <c r="G419" s="216">
        <f t="shared" si="14"/>
        <v>100</v>
      </c>
    </row>
    <row r="420" spans="1:7" ht="19.5" customHeight="1">
      <c r="A420" s="221" t="s">
        <v>549</v>
      </c>
      <c r="B420" s="215">
        <v>15000</v>
      </c>
      <c r="C420" s="215">
        <v>15000</v>
      </c>
      <c r="D420" s="215">
        <v>15000</v>
      </c>
      <c r="E420" s="215">
        <v>13052</v>
      </c>
      <c r="F420" s="216">
        <f t="shared" si="13"/>
        <v>100</v>
      </c>
      <c r="G420" s="216">
        <f t="shared" si="14"/>
        <v>100</v>
      </c>
    </row>
    <row r="421" spans="1:7" ht="19.5" customHeight="1">
      <c r="A421" s="221" t="s">
        <v>550</v>
      </c>
      <c r="B421" s="215"/>
      <c r="C421" s="215"/>
      <c r="D421" s="215"/>
      <c r="E421" s="215">
        <v>21</v>
      </c>
      <c r="F421" s="216">
        <f t="shared" si="13"/>
        <v>0</v>
      </c>
      <c r="G421" s="216">
        <f t="shared" si="14"/>
        <v>0</v>
      </c>
    </row>
    <row r="422" spans="1:7" ht="19.5" customHeight="1">
      <c r="A422" s="221" t="s">
        <v>551</v>
      </c>
      <c r="B422" s="215">
        <f>SUM(B423)</f>
        <v>0</v>
      </c>
      <c r="C422" s="215">
        <f>SUM(C423)</f>
        <v>65</v>
      </c>
      <c r="D422" s="215">
        <f>SUM(D423)</f>
        <v>65</v>
      </c>
      <c r="E422" s="215">
        <f>SUM(E423)</f>
        <v>0</v>
      </c>
      <c r="F422" s="216">
        <f t="shared" si="13"/>
        <v>0</v>
      </c>
      <c r="G422" s="216">
        <f t="shared" si="14"/>
        <v>100</v>
      </c>
    </row>
    <row r="423" spans="1:7" ht="19.5" customHeight="1">
      <c r="A423" s="221" t="s">
        <v>552</v>
      </c>
      <c r="B423" s="215"/>
      <c r="C423" s="215">
        <v>65</v>
      </c>
      <c r="D423" s="215">
        <v>65</v>
      </c>
      <c r="E423" s="215"/>
      <c r="F423" s="216">
        <f t="shared" si="13"/>
        <v>0</v>
      </c>
      <c r="G423" s="216">
        <f t="shared" si="14"/>
        <v>100</v>
      </c>
    </row>
    <row r="424" spans="1:7" ht="19.5" customHeight="1">
      <c r="A424" s="221" t="s">
        <v>553</v>
      </c>
      <c r="B424" s="215">
        <f>SUM(B425:B428)</f>
        <v>940</v>
      </c>
      <c r="C424" s="215">
        <f>SUM(C425:C428)</f>
        <v>6717</v>
      </c>
      <c r="D424" s="215">
        <f>SUM(D425:D428)</f>
        <v>6717</v>
      </c>
      <c r="E424" s="215">
        <f>SUM(E425:E428)</f>
        <v>5527</v>
      </c>
      <c r="F424" s="216">
        <f t="shared" si="13"/>
        <v>714.5744680851064</v>
      </c>
      <c r="G424" s="216">
        <f t="shared" si="14"/>
        <v>100</v>
      </c>
    </row>
    <row r="425" spans="1:7" ht="19.5" customHeight="1">
      <c r="A425" s="221" t="s">
        <v>554</v>
      </c>
      <c r="B425" s="215">
        <v>218</v>
      </c>
      <c r="C425" s="215">
        <v>199</v>
      </c>
      <c r="D425" s="215">
        <v>199</v>
      </c>
      <c r="E425" s="215">
        <v>407</v>
      </c>
      <c r="F425" s="216">
        <f t="shared" si="13"/>
        <v>91.28440366972477</v>
      </c>
      <c r="G425" s="216">
        <f t="shared" si="14"/>
        <v>100</v>
      </c>
    </row>
    <row r="426" spans="1:7" ht="19.5" customHeight="1">
      <c r="A426" s="221" t="s">
        <v>555</v>
      </c>
      <c r="B426" s="215"/>
      <c r="C426" s="215">
        <v>1000</v>
      </c>
      <c r="D426" s="215">
        <v>1000</v>
      </c>
      <c r="E426" s="215">
        <v>667</v>
      </c>
      <c r="F426" s="216">
        <f t="shared" si="13"/>
        <v>0</v>
      </c>
      <c r="G426" s="216">
        <f t="shared" si="14"/>
        <v>100</v>
      </c>
    </row>
    <row r="427" spans="1:7" ht="19.5" customHeight="1">
      <c r="A427" s="221" t="s">
        <v>556</v>
      </c>
      <c r="B427" s="215"/>
      <c r="C427" s="215">
        <v>400</v>
      </c>
      <c r="D427" s="215">
        <v>400</v>
      </c>
      <c r="E427" s="215">
        <v>220</v>
      </c>
      <c r="F427" s="216">
        <f t="shared" si="13"/>
        <v>0</v>
      </c>
      <c r="G427" s="216">
        <f t="shared" si="14"/>
        <v>100</v>
      </c>
    </row>
    <row r="428" spans="1:7" ht="19.5" customHeight="1">
      <c r="A428" s="221" t="s">
        <v>557</v>
      </c>
      <c r="B428" s="215">
        <v>722</v>
      </c>
      <c r="C428" s="215">
        <v>5118</v>
      </c>
      <c r="D428" s="215">
        <v>5118</v>
      </c>
      <c r="E428" s="215">
        <v>4233</v>
      </c>
      <c r="F428" s="216">
        <f t="shared" si="13"/>
        <v>708.8642659279778</v>
      </c>
      <c r="G428" s="216">
        <f t="shared" si="14"/>
        <v>100</v>
      </c>
    </row>
    <row r="429" spans="1:7" ht="19.5" customHeight="1">
      <c r="A429" s="221" t="s">
        <v>558</v>
      </c>
      <c r="B429" s="215">
        <f>SUM(B430:B435)</f>
        <v>6505</v>
      </c>
      <c r="C429" s="215">
        <f>SUM(C430:C435)</f>
        <v>16263</v>
      </c>
      <c r="D429" s="215">
        <f>SUM(D430:D435)</f>
        <v>16263</v>
      </c>
      <c r="E429" s="215">
        <f>SUM(E430:E435)</f>
        <v>4638</v>
      </c>
      <c r="F429" s="216">
        <f t="shared" si="13"/>
        <v>250.0076863950807</v>
      </c>
      <c r="G429" s="216">
        <f t="shared" si="14"/>
        <v>100</v>
      </c>
    </row>
    <row r="430" spans="1:7" ht="19.5" customHeight="1">
      <c r="A430" s="221" t="s">
        <v>559</v>
      </c>
      <c r="B430" s="215">
        <v>15</v>
      </c>
      <c r="C430" s="215">
        <v>79</v>
      </c>
      <c r="D430" s="215">
        <v>79</v>
      </c>
      <c r="E430" s="215">
        <v>64</v>
      </c>
      <c r="F430" s="216">
        <f t="shared" si="13"/>
        <v>526.6666666666666</v>
      </c>
      <c r="G430" s="216">
        <f t="shared" si="14"/>
        <v>100</v>
      </c>
    </row>
    <row r="431" spans="1:7" ht="19.5" customHeight="1">
      <c r="A431" s="221" t="s">
        <v>560</v>
      </c>
      <c r="B431" s="215">
        <v>145</v>
      </c>
      <c r="C431" s="215">
        <v>493</v>
      </c>
      <c r="D431" s="215">
        <v>493</v>
      </c>
      <c r="E431" s="215">
        <v>558</v>
      </c>
      <c r="F431" s="216">
        <f t="shared" si="13"/>
        <v>340</v>
      </c>
      <c r="G431" s="216">
        <f t="shared" si="14"/>
        <v>100</v>
      </c>
    </row>
    <row r="432" spans="1:7" ht="19.5" customHeight="1">
      <c r="A432" s="221" t="s">
        <v>561</v>
      </c>
      <c r="B432" s="215">
        <v>118</v>
      </c>
      <c r="C432" s="215">
        <v>1244</v>
      </c>
      <c r="D432" s="215">
        <v>1244</v>
      </c>
      <c r="E432" s="215">
        <v>1633</v>
      </c>
      <c r="F432" s="216">
        <f t="shared" si="13"/>
        <v>1054.2372881355932</v>
      </c>
      <c r="G432" s="216">
        <f t="shared" si="14"/>
        <v>100</v>
      </c>
    </row>
    <row r="433" spans="1:7" ht="19.5" customHeight="1">
      <c r="A433" s="221" t="s">
        <v>562</v>
      </c>
      <c r="B433" s="215">
        <v>468</v>
      </c>
      <c r="C433" s="215">
        <v>1052</v>
      </c>
      <c r="D433" s="215">
        <v>1052</v>
      </c>
      <c r="E433" s="215">
        <v>730</v>
      </c>
      <c r="F433" s="216">
        <f t="shared" si="13"/>
        <v>224.7863247863248</v>
      </c>
      <c r="G433" s="216">
        <f t="shared" si="14"/>
        <v>100</v>
      </c>
    </row>
    <row r="434" spans="1:7" ht="19.5" customHeight="1">
      <c r="A434" s="221" t="s">
        <v>563</v>
      </c>
      <c r="B434" s="215">
        <v>1</v>
      </c>
      <c r="C434" s="215">
        <v>190</v>
      </c>
      <c r="D434" s="215">
        <v>190</v>
      </c>
      <c r="E434" s="215">
        <v>88</v>
      </c>
      <c r="F434" s="216">
        <f t="shared" si="13"/>
        <v>19000</v>
      </c>
      <c r="G434" s="216">
        <f t="shared" si="14"/>
        <v>100</v>
      </c>
    </row>
    <row r="435" spans="1:7" ht="19.5" customHeight="1">
      <c r="A435" s="221" t="s">
        <v>564</v>
      </c>
      <c r="B435" s="215">
        <v>5758</v>
      </c>
      <c r="C435" s="215">
        <v>13205</v>
      </c>
      <c r="D435" s="215">
        <v>13205</v>
      </c>
      <c r="E435" s="215">
        <v>1565</v>
      </c>
      <c r="F435" s="216">
        <f t="shared" si="13"/>
        <v>229.33310177144844</v>
      </c>
      <c r="G435" s="216">
        <f t="shared" si="14"/>
        <v>100</v>
      </c>
    </row>
    <row r="436" spans="1:7" ht="19.5" customHeight="1">
      <c r="A436" s="221" t="s">
        <v>565</v>
      </c>
      <c r="B436" s="215">
        <f>SUM(B437:B442)</f>
        <v>1158</v>
      </c>
      <c r="C436" s="215">
        <f>SUM(C437:C442)</f>
        <v>1356</v>
      </c>
      <c r="D436" s="215">
        <f>SUM(D437:D442)</f>
        <v>1356</v>
      </c>
      <c r="E436" s="215">
        <f>SUM(E437:E442)</f>
        <v>1423</v>
      </c>
      <c r="F436" s="216">
        <f t="shared" si="13"/>
        <v>117.09844559585491</v>
      </c>
      <c r="G436" s="216">
        <f t="shared" si="14"/>
        <v>100</v>
      </c>
    </row>
    <row r="437" spans="1:7" ht="19.5" customHeight="1">
      <c r="A437" s="221" t="s">
        <v>566</v>
      </c>
      <c r="B437" s="215">
        <v>287</v>
      </c>
      <c r="C437" s="215">
        <v>359</v>
      </c>
      <c r="D437" s="215">
        <v>359</v>
      </c>
      <c r="E437" s="215">
        <v>778</v>
      </c>
      <c r="F437" s="216">
        <f t="shared" si="13"/>
        <v>125.08710801393728</v>
      </c>
      <c r="G437" s="216">
        <f t="shared" si="14"/>
        <v>100</v>
      </c>
    </row>
    <row r="438" spans="1:7" ht="19.5" customHeight="1">
      <c r="A438" s="221" t="s">
        <v>567</v>
      </c>
      <c r="B438" s="215">
        <v>592</v>
      </c>
      <c r="C438" s="215">
        <v>533</v>
      </c>
      <c r="D438" s="215">
        <v>533</v>
      </c>
      <c r="E438" s="215">
        <v>617</v>
      </c>
      <c r="F438" s="216">
        <f t="shared" si="13"/>
        <v>90.03378378378379</v>
      </c>
      <c r="G438" s="216">
        <f t="shared" si="14"/>
        <v>100</v>
      </c>
    </row>
    <row r="439" spans="1:7" ht="19.5" customHeight="1">
      <c r="A439" s="221" t="s">
        <v>568</v>
      </c>
      <c r="B439" s="215">
        <v>16</v>
      </c>
      <c r="C439" s="215">
        <v>16</v>
      </c>
      <c r="D439" s="215">
        <v>16</v>
      </c>
      <c r="E439" s="215">
        <v>28</v>
      </c>
      <c r="F439" s="216">
        <f t="shared" si="13"/>
        <v>100</v>
      </c>
      <c r="G439" s="216">
        <f t="shared" si="14"/>
        <v>100</v>
      </c>
    </row>
    <row r="440" spans="1:7" ht="19.5" customHeight="1">
      <c r="A440" s="221" t="s">
        <v>569</v>
      </c>
      <c r="B440" s="215">
        <v>20</v>
      </c>
      <c r="C440" s="215">
        <v>40</v>
      </c>
      <c r="D440" s="215">
        <v>40</v>
      </c>
      <c r="E440" s="215">
        <v>0</v>
      </c>
      <c r="F440" s="216">
        <f t="shared" si="13"/>
        <v>200</v>
      </c>
      <c r="G440" s="216">
        <f t="shared" si="14"/>
        <v>100</v>
      </c>
    </row>
    <row r="441" spans="1:7" ht="19.5" customHeight="1">
      <c r="A441" s="221" t="s">
        <v>570</v>
      </c>
      <c r="B441" s="215">
        <v>233</v>
      </c>
      <c r="C441" s="215">
        <v>347</v>
      </c>
      <c r="D441" s="215">
        <v>347</v>
      </c>
      <c r="E441" s="215"/>
      <c r="F441" s="216">
        <f t="shared" si="13"/>
        <v>148.92703862660943</v>
      </c>
      <c r="G441" s="216">
        <f t="shared" si="14"/>
        <v>100</v>
      </c>
    </row>
    <row r="442" spans="1:7" ht="19.5" customHeight="1">
      <c r="A442" s="221" t="s">
        <v>571</v>
      </c>
      <c r="B442" s="215">
        <v>10</v>
      </c>
      <c r="C442" s="215">
        <v>61</v>
      </c>
      <c r="D442" s="215">
        <v>61</v>
      </c>
      <c r="E442" s="215"/>
      <c r="F442" s="216">
        <f t="shared" si="13"/>
        <v>610</v>
      </c>
      <c r="G442" s="216">
        <f t="shared" si="14"/>
        <v>100</v>
      </c>
    </row>
    <row r="443" spans="1:7" ht="19.5" customHeight="1">
      <c r="A443" s="221" t="s">
        <v>572</v>
      </c>
      <c r="B443" s="215">
        <f>SUM(B444:B447)</f>
        <v>406</v>
      </c>
      <c r="C443" s="215">
        <f>SUM(C444:C447)</f>
        <v>378</v>
      </c>
      <c r="D443" s="215">
        <f>SUM(D444:D447)</f>
        <v>378</v>
      </c>
      <c r="E443" s="215">
        <f>SUM(E444:E447)</f>
        <v>190</v>
      </c>
      <c r="F443" s="216">
        <f t="shared" si="13"/>
        <v>93.10344827586206</v>
      </c>
      <c r="G443" s="216">
        <f t="shared" si="14"/>
        <v>100</v>
      </c>
    </row>
    <row r="444" spans="1:7" ht="19.5" customHeight="1">
      <c r="A444" s="221" t="s">
        <v>573</v>
      </c>
      <c r="B444" s="215">
        <v>0</v>
      </c>
      <c r="C444" s="215"/>
      <c r="D444" s="215"/>
      <c r="E444" s="215"/>
      <c r="F444" s="216">
        <f t="shared" si="13"/>
        <v>0</v>
      </c>
      <c r="G444" s="216">
        <f t="shared" si="14"/>
        <v>0</v>
      </c>
    </row>
    <row r="445" spans="1:7" ht="19.5" customHeight="1">
      <c r="A445" s="221" t="s">
        <v>574</v>
      </c>
      <c r="B445" s="215">
        <v>343</v>
      </c>
      <c r="C445" s="215">
        <v>298</v>
      </c>
      <c r="D445" s="215">
        <v>298</v>
      </c>
      <c r="E445" s="215"/>
      <c r="F445" s="216">
        <f t="shared" si="13"/>
        <v>86.88046647230321</v>
      </c>
      <c r="G445" s="216">
        <f t="shared" si="14"/>
        <v>100</v>
      </c>
    </row>
    <row r="446" spans="1:7" ht="19.5" customHeight="1">
      <c r="A446" s="221" t="s">
        <v>575</v>
      </c>
      <c r="B446" s="215">
        <v>30</v>
      </c>
      <c r="C446" s="215">
        <v>50</v>
      </c>
      <c r="D446" s="215">
        <v>50</v>
      </c>
      <c r="E446" s="215">
        <v>10</v>
      </c>
      <c r="F446" s="216">
        <f t="shared" si="13"/>
        <v>166.66666666666669</v>
      </c>
      <c r="G446" s="216">
        <f t="shared" si="14"/>
        <v>100</v>
      </c>
    </row>
    <row r="447" spans="1:7" ht="19.5" customHeight="1">
      <c r="A447" s="221" t="s">
        <v>576</v>
      </c>
      <c r="B447" s="215">
        <v>33</v>
      </c>
      <c r="C447" s="215">
        <v>30</v>
      </c>
      <c r="D447" s="215">
        <v>30</v>
      </c>
      <c r="E447" s="215">
        <v>180</v>
      </c>
      <c r="F447" s="216">
        <f t="shared" si="13"/>
        <v>90.9090909090909</v>
      </c>
      <c r="G447" s="216">
        <f t="shared" si="14"/>
        <v>100</v>
      </c>
    </row>
    <row r="448" spans="1:7" ht="19.5" customHeight="1">
      <c r="A448" s="221" t="s">
        <v>577</v>
      </c>
      <c r="B448" s="215">
        <f>SUM(B449:B453)</f>
        <v>11833</v>
      </c>
      <c r="C448" s="215">
        <f>SUM(C449:C453)</f>
        <v>14040</v>
      </c>
      <c r="D448" s="215">
        <f>SUM(D449:D453)</f>
        <v>6626</v>
      </c>
      <c r="E448" s="215">
        <f>SUM(E449:E453)</f>
        <v>5485</v>
      </c>
      <c r="F448" s="216">
        <f t="shared" si="13"/>
        <v>55.99594354770557</v>
      </c>
      <c r="G448" s="216">
        <f t="shared" si="14"/>
        <v>47.193732193732195</v>
      </c>
    </row>
    <row r="449" spans="1:7" ht="19.5" customHeight="1">
      <c r="A449" s="221" t="s">
        <v>578</v>
      </c>
      <c r="B449" s="215">
        <v>255</v>
      </c>
      <c r="C449" s="215">
        <v>387</v>
      </c>
      <c r="D449" s="215">
        <v>293</v>
      </c>
      <c r="E449" s="215">
        <v>142</v>
      </c>
      <c r="F449" s="216">
        <f t="shared" si="13"/>
        <v>114.90196078431372</v>
      </c>
      <c r="G449" s="216">
        <f t="shared" si="14"/>
        <v>75.71059431524549</v>
      </c>
    </row>
    <row r="450" spans="1:7" ht="19.5" customHeight="1">
      <c r="A450" s="221" t="s">
        <v>579</v>
      </c>
      <c r="B450" s="215">
        <v>8792</v>
      </c>
      <c r="C450" s="215">
        <v>9513</v>
      </c>
      <c r="D450" s="215">
        <v>2193</v>
      </c>
      <c r="E450" s="215">
        <v>2246</v>
      </c>
      <c r="F450" s="216">
        <f t="shared" si="13"/>
        <v>24.943130118289353</v>
      </c>
      <c r="G450" s="216">
        <f t="shared" si="14"/>
        <v>23.05266477451908</v>
      </c>
    </row>
    <row r="451" spans="1:7" ht="19.5" customHeight="1">
      <c r="A451" s="221" t="s">
        <v>580</v>
      </c>
      <c r="B451" s="215">
        <v>45</v>
      </c>
      <c r="C451" s="215">
        <v>111</v>
      </c>
      <c r="D451" s="215">
        <v>111</v>
      </c>
      <c r="E451" s="215">
        <v>10</v>
      </c>
      <c r="F451" s="216">
        <f t="shared" si="13"/>
        <v>246.66666666666669</v>
      </c>
      <c r="G451" s="216">
        <f t="shared" si="14"/>
        <v>100</v>
      </c>
    </row>
    <row r="452" spans="1:7" ht="19.5" customHeight="1">
      <c r="A452" s="221" t="s">
        <v>581</v>
      </c>
      <c r="B452" s="215">
        <v>1466</v>
      </c>
      <c r="C452" s="215">
        <v>2796</v>
      </c>
      <c r="D452" s="215">
        <v>2796</v>
      </c>
      <c r="E452" s="215">
        <v>2530</v>
      </c>
      <c r="F452" s="216">
        <f t="shared" si="13"/>
        <v>190.72305593451568</v>
      </c>
      <c r="G452" s="216">
        <f t="shared" si="14"/>
        <v>100</v>
      </c>
    </row>
    <row r="453" spans="1:7" ht="19.5" customHeight="1">
      <c r="A453" s="221" t="s">
        <v>582</v>
      </c>
      <c r="B453" s="215">
        <v>1275</v>
      </c>
      <c r="C453" s="215">
        <v>1233</v>
      </c>
      <c r="D453" s="215">
        <v>1233</v>
      </c>
      <c r="E453" s="215">
        <v>557</v>
      </c>
      <c r="F453" s="216">
        <f t="shared" si="13"/>
        <v>96.70588235294117</v>
      </c>
      <c r="G453" s="216">
        <f t="shared" si="14"/>
        <v>100</v>
      </c>
    </row>
    <row r="454" spans="1:7" ht="19.5" customHeight="1">
      <c r="A454" s="221" t="s">
        <v>583</v>
      </c>
      <c r="B454" s="215">
        <f>SUM(B455)</f>
        <v>46</v>
      </c>
      <c r="C454" s="215">
        <f>SUM(C455)</f>
        <v>44</v>
      </c>
      <c r="D454" s="215">
        <f>SUM(D455)</f>
        <v>44</v>
      </c>
      <c r="E454" s="215">
        <f>SUM(E455)</f>
        <v>33</v>
      </c>
      <c r="F454" s="216">
        <f t="shared" si="13"/>
        <v>95.65217391304348</v>
      </c>
      <c r="G454" s="216">
        <f t="shared" si="14"/>
        <v>100</v>
      </c>
    </row>
    <row r="455" spans="1:7" ht="19.5" customHeight="1">
      <c r="A455" s="221" t="s">
        <v>584</v>
      </c>
      <c r="B455" s="215">
        <v>46</v>
      </c>
      <c r="C455" s="215">
        <v>44</v>
      </c>
      <c r="D455" s="215">
        <v>44</v>
      </c>
      <c r="E455" s="215">
        <v>33</v>
      </c>
      <c r="F455" s="216">
        <f t="shared" si="13"/>
        <v>95.65217391304348</v>
      </c>
      <c r="G455" s="216">
        <f t="shared" si="14"/>
        <v>100</v>
      </c>
    </row>
    <row r="456" spans="1:7" ht="19.5" customHeight="1">
      <c r="A456" s="221" t="s">
        <v>585</v>
      </c>
      <c r="B456" s="215">
        <f>SUM(B457:B458)</f>
        <v>1103</v>
      </c>
      <c r="C456" s="215">
        <f>SUM(C457:C458)</f>
        <v>6617</v>
      </c>
      <c r="D456" s="215">
        <f>SUM(D457:D458)</f>
        <v>6120</v>
      </c>
      <c r="E456" s="215">
        <f>SUM(E457:E458)</f>
        <v>9357</v>
      </c>
      <c r="F456" s="216">
        <f t="shared" si="13"/>
        <v>554.8504079782412</v>
      </c>
      <c r="G456" s="216">
        <f t="shared" si="14"/>
        <v>92.48904337312982</v>
      </c>
    </row>
    <row r="457" spans="1:7" ht="19.5" customHeight="1">
      <c r="A457" s="221" t="s">
        <v>586</v>
      </c>
      <c r="B457" s="215">
        <v>1103</v>
      </c>
      <c r="C457" s="215">
        <v>3598</v>
      </c>
      <c r="D457" s="215">
        <v>3101</v>
      </c>
      <c r="E457" s="215">
        <v>4994</v>
      </c>
      <c r="F457" s="216">
        <f t="shared" si="13"/>
        <v>281.1423390752493</v>
      </c>
      <c r="G457" s="216">
        <f t="shared" si="14"/>
        <v>86.18677042801556</v>
      </c>
    </row>
    <row r="458" spans="1:7" ht="19.5" customHeight="1">
      <c r="A458" s="221" t="s">
        <v>587</v>
      </c>
      <c r="B458" s="215">
        <v>0</v>
      </c>
      <c r="C458" s="215">
        <v>3019</v>
      </c>
      <c r="D458" s="215">
        <v>3019</v>
      </c>
      <c r="E458" s="215">
        <v>4363</v>
      </c>
      <c r="F458" s="216">
        <f t="shared" si="13"/>
        <v>0</v>
      </c>
      <c r="G458" s="216">
        <f t="shared" si="14"/>
        <v>100</v>
      </c>
    </row>
    <row r="459" spans="1:7" ht="19.5" customHeight="1">
      <c r="A459" s="221" t="s">
        <v>588</v>
      </c>
      <c r="B459" s="215">
        <f>SUM(B460:B461)</f>
        <v>208</v>
      </c>
      <c r="C459" s="215">
        <f>SUM(C460:C461)</f>
        <v>618</v>
      </c>
      <c r="D459" s="215">
        <f>SUM(D460:D461)</f>
        <v>618</v>
      </c>
      <c r="E459" s="215">
        <f>SUM(E460:E461)</f>
        <v>576</v>
      </c>
      <c r="F459" s="216">
        <f t="shared" si="13"/>
        <v>297.11538461538464</v>
      </c>
      <c r="G459" s="216">
        <f t="shared" si="14"/>
        <v>100</v>
      </c>
    </row>
    <row r="460" spans="1:7" ht="19.5" customHeight="1">
      <c r="A460" s="221" t="s">
        <v>589</v>
      </c>
      <c r="B460" s="215">
        <v>198</v>
      </c>
      <c r="C460" s="215">
        <v>608</v>
      </c>
      <c r="D460" s="215">
        <v>608</v>
      </c>
      <c r="E460" s="215">
        <v>576</v>
      </c>
      <c r="F460" s="216">
        <f t="shared" si="13"/>
        <v>307.07070707070704</v>
      </c>
      <c r="G460" s="216">
        <f t="shared" si="14"/>
        <v>100</v>
      </c>
    </row>
    <row r="461" spans="1:7" ht="19.5" customHeight="1">
      <c r="A461" s="221" t="s">
        <v>590</v>
      </c>
      <c r="B461" s="215">
        <v>10</v>
      </c>
      <c r="C461" s="215">
        <v>10</v>
      </c>
      <c r="D461" s="215">
        <v>10</v>
      </c>
      <c r="E461" s="215"/>
      <c r="F461" s="216">
        <f>IF(B461=0,0,D461/B461*100)</f>
        <v>100</v>
      </c>
      <c r="G461" s="216">
        <f>IF(D461=0,0,D461/C461*100)</f>
        <v>100</v>
      </c>
    </row>
    <row r="462" spans="1:7" ht="19.5" customHeight="1">
      <c r="A462" s="221" t="s">
        <v>591</v>
      </c>
      <c r="B462" s="215">
        <f>SUM(B463)</f>
        <v>0</v>
      </c>
      <c r="C462" s="215">
        <f>SUM(C463)</f>
        <v>0</v>
      </c>
      <c r="D462" s="215">
        <f>SUM(D463)</f>
        <v>0</v>
      </c>
      <c r="E462" s="215">
        <f>SUM(E463)</f>
        <v>0</v>
      </c>
      <c r="F462" s="216">
        <f aca="true" t="shared" si="15" ref="F462:F536">IF(B462=0,0,D462/B462*100)</f>
        <v>0</v>
      </c>
      <c r="G462" s="216">
        <f aca="true" t="shared" si="16" ref="G462:G536">IF(D462=0,0,D462/C462*100)</f>
        <v>0</v>
      </c>
    </row>
    <row r="463" spans="1:7" ht="19.5" customHeight="1">
      <c r="A463" s="221" t="s">
        <v>592</v>
      </c>
      <c r="B463" s="215"/>
      <c r="C463" s="215"/>
      <c r="D463" s="215"/>
      <c r="E463" s="215"/>
      <c r="F463" s="216">
        <f t="shared" si="15"/>
        <v>0</v>
      </c>
      <c r="G463" s="216">
        <f t="shared" si="16"/>
        <v>0</v>
      </c>
    </row>
    <row r="464" spans="1:7" ht="19.5" customHeight="1">
      <c r="A464" s="221" t="s">
        <v>593</v>
      </c>
      <c r="B464" s="215">
        <f>SUM(B465:B466)</f>
        <v>638</v>
      </c>
      <c r="C464" s="215">
        <f>SUM(C465:C466)</f>
        <v>3771</v>
      </c>
      <c r="D464" s="215">
        <f>SUM(D465:D466)</f>
        <v>3771</v>
      </c>
      <c r="E464" s="215">
        <f>SUM(E465:E466)</f>
        <v>2878</v>
      </c>
      <c r="F464" s="216">
        <f t="shared" si="15"/>
        <v>591.0658307210032</v>
      </c>
      <c r="G464" s="216">
        <f t="shared" si="16"/>
        <v>100</v>
      </c>
    </row>
    <row r="465" spans="1:7" ht="19.5" customHeight="1">
      <c r="A465" s="221" t="s">
        <v>594</v>
      </c>
      <c r="B465" s="215">
        <v>7</v>
      </c>
      <c r="C465" s="215">
        <v>121</v>
      </c>
      <c r="D465" s="215">
        <v>121</v>
      </c>
      <c r="E465" s="215">
        <v>166</v>
      </c>
      <c r="F465" s="216">
        <f t="shared" si="15"/>
        <v>1728.5714285714284</v>
      </c>
      <c r="G465" s="216">
        <f t="shared" si="16"/>
        <v>100</v>
      </c>
    </row>
    <row r="466" spans="1:7" ht="19.5" customHeight="1">
      <c r="A466" s="221" t="s">
        <v>595</v>
      </c>
      <c r="B466" s="215">
        <v>631</v>
      </c>
      <c r="C466" s="215">
        <v>3650</v>
      </c>
      <c r="D466" s="215">
        <v>3650</v>
      </c>
      <c r="E466" s="215">
        <v>2712</v>
      </c>
      <c r="F466" s="216">
        <f t="shared" si="15"/>
        <v>578.446909667195</v>
      </c>
      <c r="G466" s="216">
        <f t="shared" si="16"/>
        <v>100</v>
      </c>
    </row>
    <row r="467" spans="1:7" ht="19.5" customHeight="1">
      <c r="A467" s="221" t="s">
        <v>596</v>
      </c>
      <c r="B467" s="215">
        <f>SUM(B468)</f>
        <v>156</v>
      </c>
      <c r="C467" s="215">
        <f>SUM(C468)</f>
        <v>6536</v>
      </c>
      <c r="D467" s="215">
        <f>SUM(D468)</f>
        <v>6536</v>
      </c>
      <c r="E467" s="215">
        <f>SUM(E468)</f>
        <v>6472</v>
      </c>
      <c r="F467" s="216">
        <f t="shared" si="15"/>
        <v>4189.74358974359</v>
      </c>
      <c r="G467" s="216">
        <f t="shared" si="16"/>
        <v>100</v>
      </c>
    </row>
    <row r="468" spans="1:7" ht="19.5" customHeight="1">
      <c r="A468" s="221" t="s">
        <v>597</v>
      </c>
      <c r="B468" s="215">
        <v>156</v>
      </c>
      <c r="C468" s="215">
        <f>12395-5859</f>
        <v>6536</v>
      </c>
      <c r="D468" s="215">
        <f>12395-5859</f>
        <v>6536</v>
      </c>
      <c r="E468" s="215">
        <v>6472</v>
      </c>
      <c r="F468" s="216">
        <f t="shared" si="15"/>
        <v>4189.74358974359</v>
      </c>
      <c r="G468" s="216">
        <f t="shared" si="16"/>
        <v>100</v>
      </c>
    </row>
    <row r="469" spans="1:7" ht="19.5" customHeight="1">
      <c r="A469" s="221" t="s">
        <v>598</v>
      </c>
      <c r="B469" s="215">
        <f>SUM(B470:B471)</f>
        <v>645</v>
      </c>
      <c r="C469" s="215">
        <f>SUM(C470:C472)</f>
        <v>3119</v>
      </c>
      <c r="D469" s="215">
        <f>SUM(D470:D472)</f>
        <v>3119</v>
      </c>
      <c r="E469" s="215">
        <f>SUM(E470:E471)</f>
        <v>0</v>
      </c>
      <c r="F469" s="216"/>
      <c r="G469" s="216"/>
    </row>
    <row r="470" spans="1:7" ht="19.5" customHeight="1">
      <c r="A470" s="221" t="s">
        <v>599</v>
      </c>
      <c r="B470" s="215">
        <v>10</v>
      </c>
      <c r="C470" s="215">
        <v>60</v>
      </c>
      <c r="D470" s="215">
        <v>60</v>
      </c>
      <c r="E470" s="215"/>
      <c r="F470" s="216"/>
      <c r="G470" s="216"/>
    </row>
    <row r="471" spans="1:7" ht="19.5" customHeight="1">
      <c r="A471" s="221" t="s">
        <v>600</v>
      </c>
      <c r="B471" s="215">
        <v>635</v>
      </c>
      <c r="C471" s="215">
        <v>601</v>
      </c>
      <c r="D471" s="215">
        <v>601</v>
      </c>
      <c r="E471" s="215"/>
      <c r="F471" s="216"/>
      <c r="G471" s="216"/>
    </row>
    <row r="472" spans="1:7" ht="19.5" customHeight="1">
      <c r="A472" s="221" t="s">
        <v>601</v>
      </c>
      <c r="B472" s="215"/>
      <c r="C472" s="215">
        <v>2458</v>
      </c>
      <c r="D472" s="215">
        <v>2458</v>
      </c>
      <c r="E472" s="215"/>
      <c r="F472" s="216"/>
      <c r="G472" s="216"/>
    </row>
    <row r="473" spans="1:7" ht="19.5" customHeight="1">
      <c r="A473" s="221" t="s">
        <v>602</v>
      </c>
      <c r="B473" s="215">
        <f>SUM(B474)</f>
        <v>5455</v>
      </c>
      <c r="C473" s="215">
        <f>SUM(C474)</f>
        <v>810</v>
      </c>
      <c r="D473" s="215">
        <f>SUM(D474)</f>
        <v>0</v>
      </c>
      <c r="E473" s="215">
        <f>SUM(E474)</f>
        <v>188</v>
      </c>
      <c r="F473" s="216">
        <f t="shared" si="15"/>
        <v>0</v>
      </c>
      <c r="G473" s="216">
        <f t="shared" si="16"/>
        <v>0</v>
      </c>
    </row>
    <row r="474" spans="1:7" ht="19.5" customHeight="1">
      <c r="A474" s="221" t="s">
        <v>603</v>
      </c>
      <c r="B474" s="215">
        <v>5455</v>
      </c>
      <c r="C474" s="215">
        <v>810</v>
      </c>
      <c r="D474" s="215"/>
      <c r="E474" s="215">
        <v>188</v>
      </c>
      <c r="F474" s="216">
        <f t="shared" si="15"/>
        <v>0</v>
      </c>
      <c r="G474" s="216">
        <f t="shared" si="16"/>
        <v>0</v>
      </c>
    </row>
    <row r="475" spans="1:7" ht="19.5" customHeight="1">
      <c r="A475" s="221" t="s">
        <v>604</v>
      </c>
      <c r="B475" s="215">
        <f>SUM(B476,B479,B482,B486,B493,B496,B499,B503,B507,B511,B514,B519)</f>
        <v>14859</v>
      </c>
      <c r="C475" s="215">
        <f>SUM(C476,C479,C482,C486,C493,C496,C499,C503,C507,C511,C514,C517,C519)</f>
        <v>35375</v>
      </c>
      <c r="D475" s="215">
        <f>SUM(D476,D479,D482,D486,D493,D496,D499,D503,D507,D511,D514,D517,D519)</f>
        <v>34846</v>
      </c>
      <c r="E475" s="215">
        <f>SUM(E476,E479,E482,E486,E493,E496,E499,E503,E507,E511,E514,E519)</f>
        <v>37580</v>
      </c>
      <c r="F475" s="216">
        <f t="shared" si="15"/>
        <v>234.51107073154316</v>
      </c>
      <c r="G475" s="216">
        <f t="shared" si="16"/>
        <v>98.50459363957597</v>
      </c>
    </row>
    <row r="476" spans="1:7" ht="19.5" customHeight="1">
      <c r="A476" s="221" t="s">
        <v>605</v>
      </c>
      <c r="B476" s="215">
        <f>SUM(B477:B478)</f>
        <v>787</v>
      </c>
      <c r="C476" s="215">
        <f>SUM(C477:C478)</f>
        <v>1043</v>
      </c>
      <c r="D476" s="215">
        <f>SUM(D477:D478)</f>
        <v>1043</v>
      </c>
      <c r="E476" s="215">
        <f>SUM(E477:E478)</f>
        <v>237</v>
      </c>
      <c r="F476" s="216">
        <f t="shared" si="15"/>
        <v>132.52858958068614</v>
      </c>
      <c r="G476" s="216">
        <f t="shared" si="16"/>
        <v>100</v>
      </c>
    </row>
    <row r="477" spans="1:7" ht="19.5" customHeight="1">
      <c r="A477" s="221" t="s">
        <v>606</v>
      </c>
      <c r="B477" s="215">
        <v>587</v>
      </c>
      <c r="C477" s="215">
        <v>817</v>
      </c>
      <c r="D477" s="215">
        <v>817</v>
      </c>
      <c r="E477" s="215">
        <v>237</v>
      </c>
      <c r="F477" s="216">
        <f t="shared" si="15"/>
        <v>139.18228279386713</v>
      </c>
      <c r="G477" s="216">
        <f t="shared" si="16"/>
        <v>100</v>
      </c>
    </row>
    <row r="478" spans="1:7" ht="19.5" customHeight="1">
      <c r="A478" s="221" t="s">
        <v>607</v>
      </c>
      <c r="B478" s="215">
        <v>200</v>
      </c>
      <c r="C478" s="215">
        <v>226</v>
      </c>
      <c r="D478" s="215">
        <v>226</v>
      </c>
      <c r="E478" s="215"/>
      <c r="F478" s="216"/>
      <c r="G478" s="216"/>
    </row>
    <row r="479" spans="1:7" ht="19.5" customHeight="1">
      <c r="A479" s="221" t="s">
        <v>608</v>
      </c>
      <c r="B479" s="215">
        <f>SUM(B480:B481)</f>
        <v>4309</v>
      </c>
      <c r="C479" s="215">
        <f>SUM(C480:C481)</f>
        <v>6034</v>
      </c>
      <c r="D479" s="215">
        <f>SUM(D480:D481)</f>
        <v>5742</v>
      </c>
      <c r="E479" s="215">
        <f>SUM(E480:E481)</f>
        <v>7655</v>
      </c>
      <c r="F479" s="216">
        <f t="shared" si="15"/>
        <v>133.25597586446972</v>
      </c>
      <c r="G479" s="216">
        <f t="shared" si="16"/>
        <v>95.16075571760027</v>
      </c>
    </row>
    <row r="480" spans="1:7" ht="19.5" customHeight="1">
      <c r="A480" s="221" t="s">
        <v>609</v>
      </c>
      <c r="B480" s="215">
        <v>2304</v>
      </c>
      <c r="C480" s="215">
        <f>3793-1</f>
        <v>3792</v>
      </c>
      <c r="D480" s="215">
        <v>3500</v>
      </c>
      <c r="E480" s="215">
        <v>4866</v>
      </c>
      <c r="F480" s="216">
        <f t="shared" si="15"/>
        <v>151.90972222222223</v>
      </c>
      <c r="G480" s="216">
        <f t="shared" si="16"/>
        <v>92.29957805907173</v>
      </c>
    </row>
    <row r="481" spans="1:7" ht="19.5" customHeight="1">
      <c r="A481" s="221" t="s">
        <v>610</v>
      </c>
      <c r="B481" s="215">
        <v>2005</v>
      </c>
      <c r="C481" s="215">
        <v>2242</v>
      </c>
      <c r="D481" s="215">
        <v>2242</v>
      </c>
      <c r="E481" s="215">
        <v>2789</v>
      </c>
      <c r="F481" s="216">
        <f t="shared" si="15"/>
        <v>111.82044887780549</v>
      </c>
      <c r="G481" s="216">
        <f t="shared" si="16"/>
        <v>100</v>
      </c>
    </row>
    <row r="482" spans="1:7" ht="19.5" customHeight="1">
      <c r="A482" s="221" t="s">
        <v>611</v>
      </c>
      <c r="B482" s="215">
        <f>SUM(B483:B485)</f>
        <v>3434</v>
      </c>
      <c r="C482" s="215">
        <f>SUM(C483:C485)</f>
        <v>7615</v>
      </c>
      <c r="D482" s="215">
        <f>SUM(D483:D485)</f>
        <v>7615</v>
      </c>
      <c r="E482" s="215">
        <f>SUM(E483:E485)</f>
        <v>5311</v>
      </c>
      <c r="F482" s="216">
        <f t="shared" si="15"/>
        <v>221.75305765870706</v>
      </c>
      <c r="G482" s="216">
        <f t="shared" si="16"/>
        <v>100</v>
      </c>
    </row>
    <row r="483" spans="1:7" ht="19.5" customHeight="1">
      <c r="A483" s="221" t="s">
        <v>612</v>
      </c>
      <c r="B483" s="215">
        <v>187</v>
      </c>
      <c r="C483" s="215">
        <v>820</v>
      </c>
      <c r="D483" s="215">
        <v>820</v>
      </c>
      <c r="E483" s="215">
        <v>952</v>
      </c>
      <c r="F483" s="216">
        <f t="shared" si="15"/>
        <v>438.50267379679144</v>
      </c>
      <c r="G483" s="216">
        <f t="shared" si="16"/>
        <v>100</v>
      </c>
    </row>
    <row r="484" spans="1:7" ht="19.5" customHeight="1">
      <c r="A484" s="221" t="s">
        <v>613</v>
      </c>
      <c r="B484" s="215">
        <v>1974</v>
      </c>
      <c r="C484" s="215">
        <v>4396</v>
      </c>
      <c r="D484" s="215">
        <v>4396</v>
      </c>
      <c r="E484" s="215">
        <v>1600</v>
      </c>
      <c r="F484" s="216">
        <f t="shared" si="15"/>
        <v>222.6950354609929</v>
      </c>
      <c r="G484" s="216">
        <f t="shared" si="16"/>
        <v>100</v>
      </c>
    </row>
    <row r="485" spans="1:7" ht="19.5" customHeight="1">
      <c r="A485" s="221" t="s">
        <v>614</v>
      </c>
      <c r="B485" s="215">
        <v>1273</v>
      </c>
      <c r="C485" s="215">
        <v>2399</v>
      </c>
      <c r="D485" s="215">
        <v>2399</v>
      </c>
      <c r="E485" s="215">
        <v>2759</v>
      </c>
      <c r="F485" s="216">
        <f t="shared" si="15"/>
        <v>188.45247446975648</v>
      </c>
      <c r="G485" s="216">
        <f t="shared" si="16"/>
        <v>100</v>
      </c>
    </row>
    <row r="486" spans="1:7" ht="19.5" customHeight="1">
      <c r="A486" s="221" t="s">
        <v>615</v>
      </c>
      <c r="B486" s="215">
        <f>SUM(B487:B492)</f>
        <v>2226</v>
      </c>
      <c r="C486" s="215">
        <f>SUM(C487:C492)</f>
        <v>4628</v>
      </c>
      <c r="D486" s="215">
        <f>SUM(D487:D492)</f>
        <v>4628</v>
      </c>
      <c r="E486" s="215">
        <f>SUM(E487:E492)</f>
        <v>5636</v>
      </c>
      <c r="F486" s="216">
        <f t="shared" si="15"/>
        <v>207.90655884995508</v>
      </c>
      <c r="G486" s="216">
        <f t="shared" si="16"/>
        <v>100</v>
      </c>
    </row>
    <row r="487" spans="1:7" ht="19.5" customHeight="1">
      <c r="A487" s="221" t="s">
        <v>616</v>
      </c>
      <c r="B487" s="215">
        <v>315</v>
      </c>
      <c r="C487" s="215">
        <v>451</v>
      </c>
      <c r="D487" s="215">
        <v>451</v>
      </c>
      <c r="E487" s="215">
        <v>893</v>
      </c>
      <c r="F487" s="216">
        <f t="shared" si="15"/>
        <v>143.17460317460316</v>
      </c>
      <c r="G487" s="216">
        <f t="shared" si="16"/>
        <v>100</v>
      </c>
    </row>
    <row r="488" spans="1:7" ht="19.5" customHeight="1">
      <c r="A488" s="221" t="s">
        <v>617</v>
      </c>
      <c r="B488" s="215">
        <v>72</v>
      </c>
      <c r="C488" s="215">
        <v>69</v>
      </c>
      <c r="D488" s="215">
        <v>69</v>
      </c>
      <c r="E488" s="215">
        <v>52</v>
      </c>
      <c r="F488" s="216">
        <f t="shared" si="15"/>
        <v>95.83333333333334</v>
      </c>
      <c r="G488" s="216">
        <f t="shared" si="16"/>
        <v>100</v>
      </c>
    </row>
    <row r="489" spans="1:7" ht="19.5" customHeight="1">
      <c r="A489" s="221" t="s">
        <v>618</v>
      </c>
      <c r="B489" s="215">
        <v>322</v>
      </c>
      <c r="C489" s="215">
        <v>591</v>
      </c>
      <c r="D489" s="215">
        <v>591</v>
      </c>
      <c r="E489" s="215">
        <v>1503</v>
      </c>
      <c r="F489" s="216">
        <f t="shared" si="15"/>
        <v>183.54037267080744</v>
      </c>
      <c r="G489" s="216">
        <f t="shared" si="16"/>
        <v>100</v>
      </c>
    </row>
    <row r="490" spans="1:7" ht="19.5" customHeight="1">
      <c r="A490" s="221" t="s">
        <v>619</v>
      </c>
      <c r="B490" s="215">
        <v>965</v>
      </c>
      <c r="C490" s="215">
        <v>2120</v>
      </c>
      <c r="D490" s="215">
        <f>3879-1759</f>
        <v>2120</v>
      </c>
      <c r="E490" s="215">
        <v>2209</v>
      </c>
      <c r="F490" s="216">
        <f t="shared" si="15"/>
        <v>219.68911917098444</v>
      </c>
      <c r="G490" s="216">
        <f t="shared" si="16"/>
        <v>100</v>
      </c>
    </row>
    <row r="491" spans="1:7" ht="19.5" customHeight="1">
      <c r="A491" s="221" t="s">
        <v>620</v>
      </c>
      <c r="B491" s="215">
        <v>10</v>
      </c>
      <c r="C491" s="215">
        <v>760</v>
      </c>
      <c r="D491" s="215">
        <v>760</v>
      </c>
      <c r="E491" s="215">
        <v>120</v>
      </c>
      <c r="F491" s="216">
        <f t="shared" si="15"/>
        <v>7600</v>
      </c>
      <c r="G491" s="216">
        <f t="shared" si="16"/>
        <v>100</v>
      </c>
    </row>
    <row r="492" spans="1:7" ht="19.5" customHeight="1">
      <c r="A492" s="221" t="s">
        <v>621</v>
      </c>
      <c r="B492" s="215">
        <v>542</v>
      </c>
      <c r="C492" s="215">
        <v>637</v>
      </c>
      <c r="D492" s="215">
        <v>637</v>
      </c>
      <c r="E492" s="215">
        <v>859</v>
      </c>
      <c r="F492" s="216">
        <f t="shared" si="15"/>
        <v>117.52767527675276</v>
      </c>
      <c r="G492" s="216">
        <f t="shared" si="16"/>
        <v>100</v>
      </c>
    </row>
    <row r="493" spans="1:7" ht="19.5" customHeight="1">
      <c r="A493" s="221" t="s">
        <v>622</v>
      </c>
      <c r="B493" s="215">
        <f>SUM(B494)</f>
        <v>0</v>
      </c>
      <c r="C493" s="215">
        <f>SUM(C494:C495)</f>
        <v>155</v>
      </c>
      <c r="D493" s="215">
        <f>SUM(D494:D495)</f>
        <v>155</v>
      </c>
      <c r="E493" s="215">
        <f>SUM(E494)</f>
        <v>112</v>
      </c>
      <c r="F493" s="216">
        <f t="shared" si="15"/>
        <v>0</v>
      </c>
      <c r="G493" s="216">
        <f t="shared" si="16"/>
        <v>100</v>
      </c>
    </row>
    <row r="494" spans="1:7" ht="19.5" customHeight="1">
      <c r="A494" s="221" t="s">
        <v>623</v>
      </c>
      <c r="B494" s="215"/>
      <c r="C494" s="215">
        <v>154</v>
      </c>
      <c r="D494" s="215">
        <v>154</v>
      </c>
      <c r="E494" s="215">
        <v>112</v>
      </c>
      <c r="F494" s="216">
        <f t="shared" si="15"/>
        <v>0</v>
      </c>
      <c r="G494" s="216">
        <f t="shared" si="16"/>
        <v>100</v>
      </c>
    </row>
    <row r="495" spans="1:7" ht="19.5" customHeight="1">
      <c r="A495" s="221" t="s">
        <v>624</v>
      </c>
      <c r="B495" s="215"/>
      <c r="C495" s="215">
        <v>1</v>
      </c>
      <c r="D495" s="215">
        <v>1</v>
      </c>
      <c r="E495" s="215"/>
      <c r="F495" s="216"/>
      <c r="G495" s="216"/>
    </row>
    <row r="496" spans="1:7" ht="19.5" customHeight="1">
      <c r="A496" s="221" t="s">
        <v>625</v>
      </c>
      <c r="B496" s="215">
        <f>SUM(B497:B498)</f>
        <v>249</v>
      </c>
      <c r="C496" s="215">
        <f>SUM(C497:C498)</f>
        <v>2037</v>
      </c>
      <c r="D496" s="215">
        <f>SUM(D497:D498)</f>
        <v>2025</v>
      </c>
      <c r="E496" s="215">
        <f>SUM(E497:E498)</f>
        <v>1221</v>
      </c>
      <c r="F496" s="216">
        <f t="shared" si="15"/>
        <v>813.2530120481928</v>
      </c>
      <c r="G496" s="216">
        <f t="shared" si="16"/>
        <v>99.41089837997055</v>
      </c>
    </row>
    <row r="497" spans="1:7" ht="19.5" customHeight="1">
      <c r="A497" s="221" t="s">
        <v>626</v>
      </c>
      <c r="B497" s="215">
        <v>249</v>
      </c>
      <c r="C497" s="215">
        <v>1159</v>
      </c>
      <c r="D497" s="215">
        <v>1147</v>
      </c>
      <c r="E497" s="215">
        <v>1221</v>
      </c>
      <c r="F497" s="216">
        <f t="shared" si="15"/>
        <v>460.64257028112456</v>
      </c>
      <c r="G497" s="216">
        <f t="shared" si="16"/>
        <v>98.96462467644521</v>
      </c>
    </row>
    <row r="498" spans="1:7" ht="19.5" customHeight="1">
      <c r="A498" s="221" t="s">
        <v>627</v>
      </c>
      <c r="B498" s="215"/>
      <c r="C498" s="215">
        <v>878</v>
      </c>
      <c r="D498" s="215">
        <v>878</v>
      </c>
      <c r="E498" s="215">
        <v>0</v>
      </c>
      <c r="F498" s="216">
        <f t="shared" si="15"/>
        <v>0</v>
      </c>
      <c r="G498" s="216">
        <f t="shared" si="16"/>
        <v>100</v>
      </c>
    </row>
    <row r="499" spans="1:7" ht="19.5" customHeight="1">
      <c r="A499" s="221" t="s">
        <v>628</v>
      </c>
      <c r="B499" s="215">
        <f>SUM(B500:B502)</f>
        <v>2</v>
      </c>
      <c r="C499" s="215">
        <f>SUM(C500:C502)</f>
        <v>0</v>
      </c>
      <c r="D499" s="215">
        <f>SUM(D500:D502)</f>
        <v>0</v>
      </c>
      <c r="E499" s="215">
        <f>SUM(E500:E502)</f>
        <v>1153</v>
      </c>
      <c r="F499" s="216">
        <f t="shared" si="15"/>
        <v>0</v>
      </c>
      <c r="G499" s="216">
        <f t="shared" si="16"/>
        <v>0</v>
      </c>
    </row>
    <row r="500" spans="1:7" ht="19.5" customHeight="1">
      <c r="A500" s="221" t="s">
        <v>629</v>
      </c>
      <c r="B500" s="215"/>
      <c r="C500" s="215"/>
      <c r="D500" s="215"/>
      <c r="E500" s="215"/>
      <c r="F500" s="216">
        <f t="shared" si="15"/>
        <v>0</v>
      </c>
      <c r="G500" s="216">
        <f t="shared" si="16"/>
        <v>0</v>
      </c>
    </row>
    <row r="501" spans="1:7" ht="19.5" customHeight="1">
      <c r="A501" s="221" t="s">
        <v>630</v>
      </c>
      <c r="B501" s="215"/>
      <c r="C501" s="215"/>
      <c r="D501" s="215"/>
      <c r="E501" s="215">
        <v>401</v>
      </c>
      <c r="F501" s="216">
        <f t="shared" si="15"/>
        <v>0</v>
      </c>
      <c r="G501" s="216">
        <f t="shared" si="16"/>
        <v>0</v>
      </c>
    </row>
    <row r="502" spans="1:7" ht="19.5" customHeight="1">
      <c r="A502" s="221" t="s">
        <v>631</v>
      </c>
      <c r="B502" s="215">
        <v>2</v>
      </c>
      <c r="C502" s="215"/>
      <c r="D502" s="215"/>
      <c r="E502" s="215">
        <v>752</v>
      </c>
      <c r="F502" s="216">
        <f t="shared" si="15"/>
        <v>0</v>
      </c>
      <c r="G502" s="216">
        <f t="shared" si="16"/>
        <v>0</v>
      </c>
    </row>
    <row r="503" spans="1:7" ht="19.5" customHeight="1">
      <c r="A503" s="221" t="s">
        <v>632</v>
      </c>
      <c r="B503" s="215">
        <f>SUM(B506)</f>
        <v>0</v>
      </c>
      <c r="C503" s="215">
        <f>SUM(C504:C506)</f>
        <v>35</v>
      </c>
      <c r="D503" s="215">
        <f>SUM(D504:D506)</f>
        <v>35</v>
      </c>
      <c r="E503" s="215">
        <f>SUM(E506)</f>
        <v>35</v>
      </c>
      <c r="F503" s="216">
        <f t="shared" si="15"/>
        <v>0</v>
      </c>
      <c r="G503" s="216">
        <f t="shared" si="16"/>
        <v>100</v>
      </c>
    </row>
    <row r="504" spans="1:7" ht="19.5" customHeight="1">
      <c r="A504" s="221" t="s">
        <v>633</v>
      </c>
      <c r="B504" s="215"/>
      <c r="C504" s="215">
        <v>9</v>
      </c>
      <c r="D504" s="215">
        <v>9</v>
      </c>
      <c r="E504" s="215"/>
      <c r="F504" s="216"/>
      <c r="G504" s="216"/>
    </row>
    <row r="505" spans="1:7" ht="19.5" customHeight="1">
      <c r="A505" s="221" t="s">
        <v>634</v>
      </c>
      <c r="B505" s="215"/>
      <c r="C505" s="215">
        <f>80-77-3</f>
        <v>0</v>
      </c>
      <c r="D505" s="215">
        <f>80-77-3</f>
        <v>0</v>
      </c>
      <c r="E505" s="215"/>
      <c r="F505" s="216"/>
      <c r="G505" s="216"/>
    </row>
    <row r="506" spans="1:7" ht="19.5" customHeight="1">
      <c r="A506" s="221" t="s">
        <v>635</v>
      </c>
      <c r="B506" s="215"/>
      <c r="C506" s="215">
        <v>26</v>
      </c>
      <c r="D506" s="215">
        <v>26</v>
      </c>
      <c r="E506" s="215">
        <v>35</v>
      </c>
      <c r="F506" s="216">
        <f t="shared" si="15"/>
        <v>0</v>
      </c>
      <c r="G506" s="216">
        <f t="shared" si="16"/>
        <v>100</v>
      </c>
    </row>
    <row r="507" spans="1:7" ht="19.5" customHeight="1">
      <c r="A507" s="221" t="s">
        <v>636</v>
      </c>
      <c r="B507" s="215">
        <f>SUM(B508:B510)</f>
        <v>3709</v>
      </c>
      <c r="C507" s="215">
        <f>SUM(C508:C510)</f>
        <v>12574</v>
      </c>
      <c r="D507" s="215">
        <f>SUM(D508:D510)</f>
        <v>12474</v>
      </c>
      <c r="E507" s="215">
        <f>SUM(E508:E510)</f>
        <v>14211</v>
      </c>
      <c r="F507" s="216">
        <f t="shared" si="15"/>
        <v>336.31706659476947</v>
      </c>
      <c r="G507" s="216">
        <f t="shared" si="16"/>
        <v>99.20470812788294</v>
      </c>
    </row>
    <row r="508" spans="1:7" ht="19.5" customHeight="1">
      <c r="A508" s="221" t="s">
        <v>637</v>
      </c>
      <c r="B508" s="215"/>
      <c r="C508" s="215"/>
      <c r="D508" s="215"/>
      <c r="E508" s="215"/>
      <c r="F508" s="216">
        <f t="shared" si="15"/>
        <v>0</v>
      </c>
      <c r="G508" s="216">
        <f t="shared" si="16"/>
        <v>0</v>
      </c>
    </row>
    <row r="509" spans="1:7" ht="19.5" customHeight="1">
      <c r="A509" s="221" t="s">
        <v>638</v>
      </c>
      <c r="B509" s="215">
        <v>3709</v>
      </c>
      <c r="C509" s="215">
        <v>12574</v>
      </c>
      <c r="D509" s="215">
        <f>20608-8134</f>
        <v>12474</v>
      </c>
      <c r="E509" s="215">
        <v>14211</v>
      </c>
      <c r="F509" s="216">
        <f t="shared" si="15"/>
        <v>336.31706659476947</v>
      </c>
      <c r="G509" s="216">
        <f t="shared" si="16"/>
        <v>99.20470812788294</v>
      </c>
    </row>
    <row r="510" spans="1:7" ht="19.5" customHeight="1">
      <c r="A510" s="221" t="s">
        <v>639</v>
      </c>
      <c r="B510" s="215"/>
      <c r="C510" s="215"/>
      <c r="D510" s="215"/>
      <c r="E510" s="215"/>
      <c r="F510" s="216">
        <f t="shared" si="15"/>
        <v>0</v>
      </c>
      <c r="G510" s="216">
        <f t="shared" si="16"/>
        <v>0</v>
      </c>
    </row>
    <row r="511" spans="1:7" ht="19.5" customHeight="1">
      <c r="A511" s="221" t="s">
        <v>640</v>
      </c>
      <c r="B511" s="215">
        <f>SUM(B512:B513)</f>
        <v>114</v>
      </c>
      <c r="C511" s="215">
        <f>SUM(C512:C513)</f>
        <v>1045</v>
      </c>
      <c r="D511" s="215">
        <f>SUM(D512:D513)</f>
        <v>1045</v>
      </c>
      <c r="E511" s="215">
        <f>SUM(E512:E513)</f>
        <v>1758</v>
      </c>
      <c r="F511" s="216">
        <f t="shared" si="15"/>
        <v>916.6666666666666</v>
      </c>
      <c r="G511" s="216">
        <f t="shared" si="16"/>
        <v>100</v>
      </c>
    </row>
    <row r="512" spans="1:7" ht="19.5" customHeight="1">
      <c r="A512" s="221" t="s">
        <v>641</v>
      </c>
      <c r="B512" s="215">
        <v>114</v>
      </c>
      <c r="C512" s="215">
        <f>1861-816</f>
        <v>1045</v>
      </c>
      <c r="D512" s="215">
        <f>1861-816</f>
        <v>1045</v>
      </c>
      <c r="E512" s="215">
        <v>1758</v>
      </c>
      <c r="F512" s="216">
        <f t="shared" si="15"/>
        <v>916.6666666666666</v>
      </c>
      <c r="G512" s="216">
        <f t="shared" si="16"/>
        <v>100</v>
      </c>
    </row>
    <row r="513" spans="1:7" ht="19.5" customHeight="1">
      <c r="A513" s="221" t="s">
        <v>642</v>
      </c>
      <c r="B513" s="215"/>
      <c r="C513" s="215"/>
      <c r="D513" s="215"/>
      <c r="E513" s="215"/>
      <c r="F513" s="216">
        <f t="shared" si="15"/>
        <v>0</v>
      </c>
      <c r="G513" s="216">
        <f t="shared" si="16"/>
        <v>0</v>
      </c>
    </row>
    <row r="514" spans="1:7" ht="19.5" customHeight="1">
      <c r="A514" s="221" t="s">
        <v>643</v>
      </c>
      <c r="B514" s="215">
        <f>SUM(B515)</f>
        <v>15</v>
      </c>
      <c r="C514" s="215">
        <f>SUM(C515:C516)</f>
        <v>140</v>
      </c>
      <c r="D514" s="215">
        <f>SUM(D515:D516)</f>
        <v>15</v>
      </c>
      <c r="E514" s="215">
        <f>SUM(E515)</f>
        <v>238</v>
      </c>
      <c r="F514" s="216">
        <f t="shared" si="15"/>
        <v>100</v>
      </c>
      <c r="G514" s="216">
        <f t="shared" si="16"/>
        <v>10.714285714285714</v>
      </c>
    </row>
    <row r="515" spans="1:7" ht="19.5" customHeight="1">
      <c r="A515" s="221" t="s">
        <v>644</v>
      </c>
      <c r="B515" s="215">
        <v>15</v>
      </c>
      <c r="C515" s="215">
        <f>125-110</f>
        <v>15</v>
      </c>
      <c r="D515" s="215">
        <f>125-110</f>
        <v>15</v>
      </c>
      <c r="E515" s="215">
        <v>238</v>
      </c>
      <c r="F515" s="216">
        <f t="shared" si="15"/>
        <v>100</v>
      </c>
      <c r="G515" s="216">
        <f t="shared" si="16"/>
        <v>100</v>
      </c>
    </row>
    <row r="516" spans="1:7" ht="19.5" customHeight="1">
      <c r="A516" s="221" t="s">
        <v>645</v>
      </c>
      <c r="B516" s="215"/>
      <c r="C516" s="215">
        <v>125</v>
      </c>
      <c r="D516" s="215"/>
      <c r="E516" s="215"/>
      <c r="F516" s="216">
        <f t="shared" si="15"/>
        <v>0</v>
      </c>
      <c r="G516" s="216">
        <f t="shared" si="16"/>
        <v>0</v>
      </c>
    </row>
    <row r="517" spans="1:7" ht="19.5" customHeight="1">
      <c r="A517" s="221" t="s">
        <v>646</v>
      </c>
      <c r="B517" s="215">
        <f>SUM(B518)</f>
        <v>0</v>
      </c>
      <c r="C517" s="215">
        <f>SUM(C518)</f>
        <v>55</v>
      </c>
      <c r="D517" s="215">
        <f>SUM(D518)</f>
        <v>55</v>
      </c>
      <c r="E517" s="215"/>
      <c r="F517" s="216">
        <f t="shared" si="15"/>
        <v>0</v>
      </c>
      <c r="G517" s="216">
        <f t="shared" si="16"/>
        <v>100</v>
      </c>
    </row>
    <row r="518" spans="1:7" ht="19.5" customHeight="1">
      <c r="A518" s="221" t="s">
        <v>647</v>
      </c>
      <c r="B518" s="215"/>
      <c r="C518" s="215">
        <v>55</v>
      </c>
      <c r="D518" s="215">
        <v>55</v>
      </c>
      <c r="E518" s="215"/>
      <c r="F518" s="216">
        <f t="shared" si="15"/>
        <v>0</v>
      </c>
      <c r="G518" s="216">
        <f t="shared" si="16"/>
        <v>100</v>
      </c>
    </row>
    <row r="519" spans="1:7" ht="19.5" customHeight="1">
      <c r="A519" s="221" t="s">
        <v>648</v>
      </c>
      <c r="B519" s="215">
        <f>SUM(B520)</f>
        <v>14</v>
      </c>
      <c r="C519" s="215">
        <f>SUM(C520)</f>
        <v>14</v>
      </c>
      <c r="D519" s="215">
        <f>SUM(D520)</f>
        <v>14</v>
      </c>
      <c r="E519" s="215">
        <f>SUM(E520)</f>
        <v>13</v>
      </c>
      <c r="F519" s="216">
        <f t="shared" si="15"/>
        <v>100</v>
      </c>
      <c r="G519" s="216">
        <f t="shared" si="16"/>
        <v>100</v>
      </c>
    </row>
    <row r="520" spans="1:7" ht="19.5" customHeight="1">
      <c r="A520" s="221" t="s">
        <v>649</v>
      </c>
      <c r="B520" s="215">
        <v>14</v>
      </c>
      <c r="C520" s="215">
        <v>14</v>
      </c>
      <c r="D520" s="215">
        <v>14</v>
      </c>
      <c r="E520" s="215">
        <v>13</v>
      </c>
      <c r="F520" s="216">
        <f t="shared" si="15"/>
        <v>100</v>
      </c>
      <c r="G520" s="216">
        <f t="shared" si="16"/>
        <v>100</v>
      </c>
    </row>
    <row r="521" spans="1:7" ht="19.5" customHeight="1">
      <c r="A521" s="221" t="s">
        <v>89</v>
      </c>
      <c r="B521" s="215">
        <f>SUM(B522,B527,B529,B535,B538,B540)</f>
        <v>7682</v>
      </c>
      <c r="C521" s="215">
        <f>SUM(C522,C527,C529,C535,C538,C540)</f>
        <v>32102</v>
      </c>
      <c r="D521" s="215">
        <f>SUM(D522,D527,D529,D535,D538,D540)</f>
        <v>32023</v>
      </c>
      <c r="E521" s="215">
        <f>SUM(E522,E527,E529,E535,E538,E540)</f>
        <v>18589</v>
      </c>
      <c r="F521" s="216">
        <f t="shared" si="15"/>
        <v>416.85758916948714</v>
      </c>
      <c r="G521" s="216">
        <f t="shared" si="16"/>
        <v>99.75390941374368</v>
      </c>
    </row>
    <row r="522" spans="1:7" ht="19.5" customHeight="1">
      <c r="A522" s="221" t="s">
        <v>650</v>
      </c>
      <c r="B522" s="215">
        <f>SUM(B523:B526)</f>
        <v>175</v>
      </c>
      <c r="C522" s="215">
        <f>SUM(C523:C526)</f>
        <v>357</v>
      </c>
      <c r="D522" s="215">
        <f>SUM(D523:D526)</f>
        <v>357</v>
      </c>
      <c r="E522" s="215">
        <f>SUM(E523:E526)</f>
        <v>217</v>
      </c>
      <c r="F522" s="216">
        <f t="shared" si="15"/>
        <v>204</v>
      </c>
      <c r="G522" s="216">
        <f t="shared" si="16"/>
        <v>100</v>
      </c>
    </row>
    <row r="523" spans="1:7" ht="19.5" customHeight="1">
      <c r="A523" s="221" t="s">
        <v>651</v>
      </c>
      <c r="B523" s="215">
        <v>25</v>
      </c>
      <c r="C523" s="215">
        <v>211</v>
      </c>
      <c r="D523" s="215">
        <v>211</v>
      </c>
      <c r="E523" s="215">
        <v>87</v>
      </c>
      <c r="F523" s="216">
        <f t="shared" si="15"/>
        <v>844</v>
      </c>
      <c r="G523" s="216">
        <f t="shared" si="16"/>
        <v>100</v>
      </c>
    </row>
    <row r="524" spans="1:7" ht="19.5" customHeight="1">
      <c r="A524" s="221" t="s">
        <v>652</v>
      </c>
      <c r="B524" s="215">
        <v>50</v>
      </c>
      <c r="C524" s="215">
        <v>53</v>
      </c>
      <c r="D524" s="215">
        <v>53</v>
      </c>
      <c r="E524" s="215">
        <v>63</v>
      </c>
      <c r="F524" s="216">
        <f t="shared" si="15"/>
        <v>106</v>
      </c>
      <c r="G524" s="216">
        <f t="shared" si="16"/>
        <v>100</v>
      </c>
    </row>
    <row r="525" spans="1:7" ht="19.5" customHeight="1">
      <c r="A525" s="221" t="s">
        <v>653</v>
      </c>
      <c r="B525" s="215">
        <v>100</v>
      </c>
      <c r="C525" s="215">
        <v>93</v>
      </c>
      <c r="D525" s="215">
        <v>93</v>
      </c>
      <c r="E525" s="215">
        <v>67</v>
      </c>
      <c r="F525" s="216">
        <f t="shared" si="15"/>
        <v>93</v>
      </c>
      <c r="G525" s="216">
        <f t="shared" si="16"/>
        <v>100</v>
      </c>
    </row>
    <row r="526" spans="1:7" ht="19.5" customHeight="1">
      <c r="A526" s="237" t="s">
        <v>654</v>
      </c>
      <c r="B526" s="215"/>
      <c r="C526" s="215"/>
      <c r="D526" s="215"/>
      <c r="E526" s="215"/>
      <c r="F526" s="216">
        <f t="shared" si="15"/>
        <v>0</v>
      </c>
      <c r="G526" s="216">
        <f t="shared" si="16"/>
        <v>0</v>
      </c>
    </row>
    <row r="527" spans="1:7" ht="19.5" customHeight="1">
      <c r="A527" s="221" t="s">
        <v>655</v>
      </c>
      <c r="B527" s="215">
        <f>SUM(B528)</f>
        <v>0</v>
      </c>
      <c r="C527" s="215">
        <f>SUM(C528)</f>
        <v>0</v>
      </c>
      <c r="D527" s="215">
        <f>SUM(D528)</f>
        <v>0</v>
      </c>
      <c r="E527" s="215">
        <f>SUM(E528)</f>
        <v>0</v>
      </c>
      <c r="F527" s="216">
        <f t="shared" si="15"/>
        <v>0</v>
      </c>
      <c r="G527" s="216">
        <f t="shared" si="16"/>
        <v>0</v>
      </c>
    </row>
    <row r="528" spans="1:7" ht="19.5" customHeight="1">
      <c r="A528" s="221" t="s">
        <v>656</v>
      </c>
      <c r="B528" s="215"/>
      <c r="C528" s="215"/>
      <c r="D528" s="215"/>
      <c r="E528" s="215"/>
      <c r="F528" s="216">
        <f t="shared" si="15"/>
        <v>0</v>
      </c>
      <c r="G528" s="216">
        <f t="shared" si="16"/>
        <v>0</v>
      </c>
    </row>
    <row r="529" spans="1:7" ht="19.5" customHeight="1">
      <c r="A529" s="221" t="s">
        <v>657</v>
      </c>
      <c r="B529" s="215">
        <f>SUM(B530:B534)</f>
        <v>5481</v>
      </c>
      <c r="C529" s="215">
        <f>SUM(C530:C534)</f>
        <v>10999</v>
      </c>
      <c r="D529" s="215">
        <f>SUM(D530:D534)</f>
        <v>10920</v>
      </c>
      <c r="E529" s="215">
        <f>SUM(E530:E534)</f>
        <v>9502</v>
      </c>
      <c r="F529" s="216">
        <f t="shared" si="15"/>
        <v>199.23371647509578</v>
      </c>
      <c r="G529" s="216">
        <f t="shared" si="16"/>
        <v>99.28175288662607</v>
      </c>
    </row>
    <row r="530" spans="1:7" ht="19.5" customHeight="1">
      <c r="A530" s="221" t="s">
        <v>658</v>
      </c>
      <c r="B530" s="215">
        <v>2634</v>
      </c>
      <c r="C530" s="215">
        <v>3954</v>
      </c>
      <c r="D530" s="215">
        <v>3954</v>
      </c>
      <c r="E530" s="215">
        <v>7888</v>
      </c>
      <c r="F530" s="216">
        <f t="shared" si="15"/>
        <v>150.11389521640092</v>
      </c>
      <c r="G530" s="216">
        <f t="shared" si="16"/>
        <v>100</v>
      </c>
    </row>
    <row r="531" spans="1:7" ht="19.5" customHeight="1">
      <c r="A531" s="221" t="s">
        <v>659</v>
      </c>
      <c r="B531" s="215">
        <v>1805</v>
      </c>
      <c r="C531" s="215">
        <v>5087</v>
      </c>
      <c r="D531" s="215">
        <f>18291-13283</f>
        <v>5008</v>
      </c>
      <c r="E531" s="215">
        <v>834</v>
      </c>
      <c r="F531" s="216">
        <f t="shared" si="15"/>
        <v>277.4515235457064</v>
      </c>
      <c r="G531" s="216">
        <f t="shared" si="16"/>
        <v>98.44702182032631</v>
      </c>
    </row>
    <row r="532" spans="1:7" ht="19.5" customHeight="1">
      <c r="A532" s="221" t="s">
        <v>660</v>
      </c>
      <c r="B532" s="215"/>
      <c r="C532" s="215"/>
      <c r="D532" s="215"/>
      <c r="E532" s="215"/>
      <c r="F532" s="216">
        <f t="shared" si="15"/>
        <v>0</v>
      </c>
      <c r="G532" s="216">
        <f t="shared" si="16"/>
        <v>0</v>
      </c>
    </row>
    <row r="533" spans="1:7" ht="19.5" customHeight="1">
      <c r="A533" s="221" t="s">
        <v>661</v>
      </c>
      <c r="B533" s="215"/>
      <c r="C533" s="215"/>
      <c r="D533" s="215"/>
      <c r="E533" s="215"/>
      <c r="F533" s="216">
        <f t="shared" si="15"/>
        <v>0</v>
      </c>
      <c r="G533" s="216">
        <f t="shared" si="16"/>
        <v>0</v>
      </c>
    </row>
    <row r="534" spans="1:7" ht="19.5" customHeight="1">
      <c r="A534" s="221" t="s">
        <v>662</v>
      </c>
      <c r="B534" s="215">
        <v>1042</v>
      </c>
      <c r="C534" s="215">
        <v>1958</v>
      </c>
      <c r="D534" s="215">
        <v>1958</v>
      </c>
      <c r="E534" s="215">
        <v>780</v>
      </c>
      <c r="F534" s="216">
        <f t="shared" si="15"/>
        <v>187.90786948176583</v>
      </c>
      <c r="G534" s="216">
        <f t="shared" si="16"/>
        <v>100</v>
      </c>
    </row>
    <row r="535" spans="1:7" ht="19.5" customHeight="1">
      <c r="A535" s="221" t="s">
        <v>663</v>
      </c>
      <c r="B535" s="215">
        <f>SUM(B536:B537)</f>
        <v>50</v>
      </c>
      <c r="C535" s="215">
        <f>SUM(C536:C537)</f>
        <v>15074</v>
      </c>
      <c r="D535" s="215">
        <f>SUM(D536:D537)</f>
        <v>15074</v>
      </c>
      <c r="E535" s="215">
        <f>SUM(E536:E537)</f>
        <v>0</v>
      </c>
      <c r="F535" s="216">
        <f t="shared" si="15"/>
        <v>30148</v>
      </c>
      <c r="G535" s="216">
        <f t="shared" si="16"/>
        <v>100</v>
      </c>
    </row>
    <row r="536" spans="1:7" ht="19.5" customHeight="1">
      <c r="A536" s="221" t="s">
        <v>664</v>
      </c>
      <c r="B536" s="215">
        <v>50</v>
      </c>
      <c r="C536" s="215">
        <v>50</v>
      </c>
      <c r="D536" s="215">
        <v>50</v>
      </c>
      <c r="E536" s="215"/>
      <c r="F536" s="216">
        <f t="shared" si="15"/>
        <v>100</v>
      </c>
      <c r="G536" s="216">
        <f t="shared" si="16"/>
        <v>100</v>
      </c>
    </row>
    <row r="537" spans="1:7" ht="19.5" customHeight="1">
      <c r="A537" s="221" t="s">
        <v>665</v>
      </c>
      <c r="B537" s="215"/>
      <c r="C537" s="215">
        <v>15024</v>
      </c>
      <c r="D537" s="215">
        <v>15024</v>
      </c>
      <c r="E537" s="215"/>
      <c r="F537" s="216">
        <f aca="true" t="shared" si="17" ref="F537:F612">IF(B537=0,0,D537/B537*100)</f>
        <v>0</v>
      </c>
      <c r="G537" s="216">
        <f aca="true" t="shared" si="18" ref="G537:G612">IF(D537=0,0,D537/C537*100)</f>
        <v>100</v>
      </c>
    </row>
    <row r="538" spans="1:7" ht="19.5" customHeight="1">
      <c r="A538" s="237" t="s">
        <v>666</v>
      </c>
      <c r="B538" s="215">
        <f>SUM(B539)</f>
        <v>0</v>
      </c>
      <c r="C538" s="215">
        <f>SUM(C539)</f>
        <v>0</v>
      </c>
      <c r="D538" s="215">
        <f>SUM(D539)</f>
        <v>0</v>
      </c>
      <c r="E538" s="215">
        <f>SUM(E539)</f>
        <v>0</v>
      </c>
      <c r="F538" s="216">
        <f t="shared" si="17"/>
        <v>0</v>
      </c>
      <c r="G538" s="216">
        <f t="shared" si="18"/>
        <v>0</v>
      </c>
    </row>
    <row r="539" spans="1:7" ht="19.5" customHeight="1">
      <c r="A539" s="237" t="s">
        <v>667</v>
      </c>
      <c r="B539" s="215"/>
      <c r="C539" s="215"/>
      <c r="D539" s="215"/>
      <c r="E539" s="215"/>
      <c r="F539" s="216">
        <f t="shared" si="17"/>
        <v>0</v>
      </c>
      <c r="G539" s="216">
        <f t="shared" si="18"/>
        <v>0</v>
      </c>
    </row>
    <row r="540" spans="1:7" ht="19.5" customHeight="1">
      <c r="A540" s="221" t="s">
        <v>668</v>
      </c>
      <c r="B540" s="215">
        <f>SUM(B541:B544)</f>
        <v>1976</v>
      </c>
      <c r="C540" s="215">
        <f>SUM(C541:C544)</f>
        <v>5672</v>
      </c>
      <c r="D540" s="215">
        <f>SUM(D541:D544)</f>
        <v>5672</v>
      </c>
      <c r="E540" s="215">
        <f>SUM(E541:E544)</f>
        <v>8870</v>
      </c>
      <c r="F540" s="216">
        <f t="shared" si="17"/>
        <v>287.0445344129555</v>
      </c>
      <c r="G540" s="216">
        <f t="shared" si="18"/>
        <v>100</v>
      </c>
    </row>
    <row r="541" spans="1:7" ht="19.5" customHeight="1">
      <c r="A541" s="221" t="s">
        <v>669</v>
      </c>
      <c r="B541" s="215">
        <v>1686</v>
      </c>
      <c r="C541" s="215">
        <v>1351</v>
      </c>
      <c r="D541" s="215">
        <v>1351</v>
      </c>
      <c r="E541" s="215">
        <v>1234</v>
      </c>
      <c r="F541" s="216">
        <f t="shared" si="17"/>
        <v>80.13048635824437</v>
      </c>
      <c r="G541" s="216">
        <f t="shared" si="18"/>
        <v>100</v>
      </c>
    </row>
    <row r="542" spans="1:7" ht="19.5" customHeight="1">
      <c r="A542" s="221" t="s">
        <v>670</v>
      </c>
      <c r="B542" s="215"/>
      <c r="C542" s="215">
        <v>81</v>
      </c>
      <c r="D542" s="215">
        <v>81</v>
      </c>
      <c r="E542" s="215"/>
      <c r="F542" s="216">
        <f t="shared" si="17"/>
        <v>0</v>
      </c>
      <c r="G542" s="216">
        <f t="shared" si="18"/>
        <v>100</v>
      </c>
    </row>
    <row r="543" spans="1:7" ht="19.5" customHeight="1">
      <c r="A543" s="221" t="s">
        <v>671</v>
      </c>
      <c r="B543" s="215">
        <v>290</v>
      </c>
      <c r="C543" s="215">
        <v>466</v>
      </c>
      <c r="D543" s="215">
        <v>466</v>
      </c>
      <c r="E543" s="215">
        <v>256</v>
      </c>
      <c r="F543" s="216">
        <f t="shared" si="17"/>
        <v>160.6896551724138</v>
      </c>
      <c r="G543" s="216">
        <f t="shared" si="18"/>
        <v>100</v>
      </c>
    </row>
    <row r="544" spans="1:7" ht="19.5" customHeight="1">
      <c r="A544" s="221" t="s">
        <v>672</v>
      </c>
      <c r="B544" s="215"/>
      <c r="C544" s="215">
        <v>3774</v>
      </c>
      <c r="D544" s="215">
        <v>3774</v>
      </c>
      <c r="E544" s="215">
        <v>7380</v>
      </c>
      <c r="F544" s="216"/>
      <c r="G544" s="216"/>
    </row>
    <row r="545" spans="1:7" ht="19.5" customHeight="1">
      <c r="A545" s="221" t="s">
        <v>90</v>
      </c>
      <c r="B545" s="215">
        <f>SUM(B546,B550,B552,B555,B557,B559)</f>
        <v>17967</v>
      </c>
      <c r="C545" s="215">
        <f>SUM(C546,C550,C552,C555,C557,C559)</f>
        <v>123834</v>
      </c>
      <c r="D545" s="215">
        <f>SUM(D546,D550,D552,D555,D557,D559)</f>
        <v>82175</v>
      </c>
      <c r="E545" s="215">
        <f>SUM(E546,E550,E552,E555,E557,E559)</f>
        <v>95931</v>
      </c>
      <c r="F545" s="216">
        <f t="shared" si="17"/>
        <v>457.36628262926473</v>
      </c>
      <c r="G545" s="216">
        <f t="shared" si="18"/>
        <v>66.35899672141738</v>
      </c>
    </row>
    <row r="546" spans="1:7" ht="19.5" customHeight="1">
      <c r="A546" s="221" t="s">
        <v>673</v>
      </c>
      <c r="B546" s="215">
        <f>SUM(B547:B549)</f>
        <v>741</v>
      </c>
      <c r="C546" s="215">
        <f>SUM(C547:C549)</f>
        <v>2418</v>
      </c>
      <c r="D546" s="215">
        <f>SUM(D547:D549)</f>
        <v>2418</v>
      </c>
      <c r="E546" s="215">
        <f>SUM(E547:E549)</f>
        <v>1453</v>
      </c>
      <c r="F546" s="216">
        <f t="shared" si="17"/>
        <v>326.3157894736842</v>
      </c>
      <c r="G546" s="216">
        <f t="shared" si="18"/>
        <v>100</v>
      </c>
    </row>
    <row r="547" spans="1:7" ht="19.5" customHeight="1">
      <c r="A547" s="221" t="s">
        <v>674</v>
      </c>
      <c r="B547" s="215">
        <v>8</v>
      </c>
      <c r="C547" s="215">
        <v>778</v>
      </c>
      <c r="D547" s="215">
        <v>778</v>
      </c>
      <c r="E547" s="215"/>
      <c r="F547" s="216">
        <f t="shared" si="17"/>
        <v>9725</v>
      </c>
      <c r="G547" s="216">
        <f t="shared" si="18"/>
        <v>100</v>
      </c>
    </row>
    <row r="548" spans="1:7" ht="19.5" customHeight="1">
      <c r="A548" s="221" t="s">
        <v>675</v>
      </c>
      <c r="B548" s="215">
        <v>168</v>
      </c>
      <c r="C548" s="215">
        <v>516</v>
      </c>
      <c r="D548" s="215">
        <v>516</v>
      </c>
      <c r="E548" s="215">
        <v>342</v>
      </c>
      <c r="F548" s="216">
        <f t="shared" si="17"/>
        <v>307.14285714285717</v>
      </c>
      <c r="G548" s="216">
        <f t="shared" si="18"/>
        <v>100</v>
      </c>
    </row>
    <row r="549" spans="1:7" ht="19.5" customHeight="1">
      <c r="A549" s="221" t="s">
        <v>676</v>
      </c>
      <c r="B549" s="215">
        <v>565</v>
      </c>
      <c r="C549" s="215">
        <v>1124</v>
      </c>
      <c r="D549" s="215">
        <v>1124</v>
      </c>
      <c r="E549" s="215">
        <v>1111</v>
      </c>
      <c r="F549" s="216">
        <f t="shared" si="17"/>
        <v>198.93805309734515</v>
      </c>
      <c r="G549" s="216">
        <f t="shared" si="18"/>
        <v>100</v>
      </c>
    </row>
    <row r="550" spans="1:7" ht="19.5" customHeight="1">
      <c r="A550" s="221" t="s">
        <v>677</v>
      </c>
      <c r="B550" s="215">
        <f>SUM(B551)</f>
        <v>228</v>
      </c>
      <c r="C550" s="215">
        <f>SUM(C551)</f>
        <v>1683</v>
      </c>
      <c r="D550" s="215">
        <f>SUM(D551)</f>
        <v>1683</v>
      </c>
      <c r="E550" s="215">
        <f>SUM(E551)</f>
        <v>143</v>
      </c>
      <c r="F550" s="216">
        <f t="shared" si="17"/>
        <v>738.1578947368421</v>
      </c>
      <c r="G550" s="216">
        <f t="shared" si="18"/>
        <v>100</v>
      </c>
    </row>
    <row r="551" spans="1:7" ht="19.5" customHeight="1">
      <c r="A551" s="221" t="s">
        <v>678</v>
      </c>
      <c r="B551" s="215">
        <v>228</v>
      </c>
      <c r="C551" s="215">
        <v>1683</v>
      </c>
      <c r="D551" s="215">
        <v>1683</v>
      </c>
      <c r="E551" s="215">
        <v>143</v>
      </c>
      <c r="F551" s="216">
        <f t="shared" si="17"/>
        <v>738.1578947368421</v>
      </c>
      <c r="G551" s="216">
        <f t="shared" si="18"/>
        <v>100</v>
      </c>
    </row>
    <row r="552" spans="1:7" ht="19.5" customHeight="1">
      <c r="A552" s="221" t="s">
        <v>679</v>
      </c>
      <c r="B552" s="215">
        <f>SUM(B553:B554)</f>
        <v>14496</v>
      </c>
      <c r="C552" s="215">
        <f>SUM(C553:C554)</f>
        <v>116499</v>
      </c>
      <c r="D552" s="215">
        <f>SUM(D553:D554)</f>
        <v>70324</v>
      </c>
      <c r="E552" s="215">
        <f>SUM(E553:E554)</f>
        <v>71286</v>
      </c>
      <c r="F552" s="216">
        <f t="shared" si="17"/>
        <v>485.12693156732894</v>
      </c>
      <c r="G552" s="216">
        <f t="shared" si="18"/>
        <v>60.364466647782386</v>
      </c>
    </row>
    <row r="553" spans="1:7" ht="19.5" customHeight="1">
      <c r="A553" s="237" t="s">
        <v>680</v>
      </c>
      <c r="B553" s="215"/>
      <c r="C553" s="215"/>
      <c r="D553" s="215"/>
      <c r="E553" s="215"/>
      <c r="F553" s="216">
        <f t="shared" si="17"/>
        <v>0</v>
      </c>
      <c r="G553" s="216">
        <f t="shared" si="18"/>
        <v>0</v>
      </c>
    </row>
    <row r="554" spans="1:7" ht="19.5" customHeight="1">
      <c r="A554" s="221" t="s">
        <v>681</v>
      </c>
      <c r="B554" s="215">
        <f>12996+1500</f>
        <v>14496</v>
      </c>
      <c r="C554" s="253">
        <f>103518+12981</f>
        <v>116499</v>
      </c>
      <c r="D554" s="215">
        <v>70324</v>
      </c>
      <c r="E554" s="215">
        <v>71286</v>
      </c>
      <c r="F554" s="216">
        <f t="shared" si="17"/>
        <v>485.12693156732894</v>
      </c>
      <c r="G554" s="216">
        <f t="shared" si="18"/>
        <v>60.364466647782386</v>
      </c>
    </row>
    <row r="555" spans="1:7" ht="19.5" customHeight="1">
      <c r="A555" s="221" t="s">
        <v>682</v>
      </c>
      <c r="B555" s="215">
        <f>SUM(B556)</f>
        <v>1109</v>
      </c>
      <c r="C555" s="215">
        <f>SUM(C556)</f>
        <v>3059</v>
      </c>
      <c r="D555" s="215">
        <f>SUM(D556)</f>
        <v>3059</v>
      </c>
      <c r="E555" s="215">
        <f>SUM(E556)</f>
        <v>14807</v>
      </c>
      <c r="F555" s="216">
        <f t="shared" si="17"/>
        <v>275.83408476104603</v>
      </c>
      <c r="G555" s="216">
        <f t="shared" si="18"/>
        <v>100</v>
      </c>
    </row>
    <row r="556" spans="1:7" ht="19.5" customHeight="1">
      <c r="A556" s="221" t="s">
        <v>683</v>
      </c>
      <c r="B556" s="215">
        <v>1109</v>
      </c>
      <c r="C556" s="215">
        <v>3059</v>
      </c>
      <c r="D556" s="215">
        <v>3059</v>
      </c>
      <c r="E556" s="215">
        <v>14807</v>
      </c>
      <c r="F556" s="216">
        <f t="shared" si="17"/>
        <v>275.83408476104603</v>
      </c>
      <c r="G556" s="216">
        <f t="shared" si="18"/>
        <v>100</v>
      </c>
    </row>
    <row r="557" spans="1:7" ht="19.5" customHeight="1">
      <c r="A557" s="221" t="s">
        <v>684</v>
      </c>
      <c r="B557" s="215">
        <f>SUM(B558)</f>
        <v>193</v>
      </c>
      <c r="C557" s="215">
        <f>SUM(C558)</f>
        <v>175</v>
      </c>
      <c r="D557" s="215">
        <f>SUM(D558)</f>
        <v>175</v>
      </c>
      <c r="E557" s="215">
        <f>SUM(E558)</f>
        <v>4</v>
      </c>
      <c r="F557" s="216">
        <f t="shared" si="17"/>
        <v>90.67357512953367</v>
      </c>
      <c r="G557" s="216">
        <f t="shared" si="18"/>
        <v>100</v>
      </c>
    </row>
    <row r="558" spans="1:7" ht="19.5" customHeight="1">
      <c r="A558" s="221" t="s">
        <v>685</v>
      </c>
      <c r="B558" s="215">
        <v>193</v>
      </c>
      <c r="C558" s="215">
        <v>175</v>
      </c>
      <c r="D558" s="215">
        <v>175</v>
      </c>
      <c r="E558" s="215">
        <v>4</v>
      </c>
      <c r="F558" s="216">
        <f t="shared" si="17"/>
        <v>90.67357512953367</v>
      </c>
      <c r="G558" s="216">
        <f t="shared" si="18"/>
        <v>100</v>
      </c>
    </row>
    <row r="559" spans="1:7" ht="19.5" customHeight="1">
      <c r="A559" s="221" t="s">
        <v>686</v>
      </c>
      <c r="B559" s="215">
        <f>SUM(B561)</f>
        <v>1200</v>
      </c>
      <c r="C559" s="215">
        <f>SUM(C561)</f>
        <v>0</v>
      </c>
      <c r="D559" s="215">
        <f>SUM(D560:D561)</f>
        <v>4516</v>
      </c>
      <c r="E559" s="215">
        <f>SUM(E561)</f>
        <v>8238</v>
      </c>
      <c r="F559" s="216">
        <f t="shared" si="17"/>
        <v>376.3333333333333</v>
      </c>
      <c r="G559" s="216" t="e">
        <f t="shared" si="18"/>
        <v>#DIV/0!</v>
      </c>
    </row>
    <row r="560" spans="1:7" ht="19.5" customHeight="1">
      <c r="A560" s="221" t="s">
        <v>687</v>
      </c>
      <c r="B560" s="215"/>
      <c r="C560" s="215">
        <f>4566-50</f>
        <v>4516</v>
      </c>
      <c r="D560" s="215">
        <f>4566-50</f>
        <v>4516</v>
      </c>
      <c r="E560" s="215"/>
      <c r="F560" s="216"/>
      <c r="G560" s="216"/>
    </row>
    <row r="561" spans="1:7" ht="19.5" customHeight="1">
      <c r="A561" s="221" t="s">
        <v>688</v>
      </c>
      <c r="B561" s="215">
        <v>1200</v>
      </c>
      <c r="C561" s="215"/>
      <c r="D561" s="215"/>
      <c r="E561" s="215">
        <v>8238</v>
      </c>
      <c r="F561" s="216">
        <f t="shared" si="17"/>
        <v>0</v>
      </c>
      <c r="G561" s="216">
        <f t="shared" si="18"/>
        <v>0</v>
      </c>
    </row>
    <row r="562" spans="1:7" ht="19.5" customHeight="1">
      <c r="A562" s="221" t="s">
        <v>91</v>
      </c>
      <c r="B562" s="215">
        <f>SUM(B563,B580,B585,B593,B596,B599,B603)</f>
        <v>16473</v>
      </c>
      <c r="C562" s="215">
        <f>SUM(C563,C580,C585,C593,C596,C599,C603)</f>
        <v>44556</v>
      </c>
      <c r="D562" s="215">
        <f>SUM(D563,D580,D585,D593,D596,D599,D603)</f>
        <v>44105</v>
      </c>
      <c r="E562" s="215">
        <f>SUM(E563,E580,E585,E593,E596,E599,E603)</f>
        <v>45842</v>
      </c>
      <c r="F562" s="216">
        <f t="shared" si="17"/>
        <v>267.74115218842957</v>
      </c>
      <c r="G562" s="216">
        <f t="shared" si="18"/>
        <v>98.98779064547985</v>
      </c>
    </row>
    <row r="563" spans="1:7" ht="19.5" customHeight="1">
      <c r="A563" s="221" t="s">
        <v>689</v>
      </c>
      <c r="B563" s="215">
        <f>SUM(B564:B579)</f>
        <v>12106</v>
      </c>
      <c r="C563" s="215">
        <f>SUM(C564:C579)</f>
        <v>14617</v>
      </c>
      <c r="D563" s="215">
        <f>SUM(D564:D579)</f>
        <v>14617</v>
      </c>
      <c r="E563" s="215">
        <f>SUM(E564:E579)</f>
        <v>22137</v>
      </c>
      <c r="F563" s="216">
        <f t="shared" si="17"/>
        <v>120.74178093507354</v>
      </c>
      <c r="G563" s="216">
        <f t="shared" si="18"/>
        <v>100</v>
      </c>
    </row>
    <row r="564" spans="1:7" ht="19.5" customHeight="1">
      <c r="A564" s="221" t="s">
        <v>690</v>
      </c>
      <c r="B564" s="215"/>
      <c r="C564" s="215"/>
      <c r="D564" s="215"/>
      <c r="E564" s="215"/>
      <c r="F564" s="216">
        <f t="shared" si="17"/>
        <v>0</v>
      </c>
      <c r="G564" s="216">
        <f t="shared" si="18"/>
        <v>0</v>
      </c>
    </row>
    <row r="565" spans="1:7" ht="19.5" customHeight="1">
      <c r="A565" s="221" t="s">
        <v>691</v>
      </c>
      <c r="B565" s="215">
        <v>17</v>
      </c>
      <c r="C565" s="215">
        <v>277</v>
      </c>
      <c r="D565" s="215">
        <v>277</v>
      </c>
      <c r="E565" s="215">
        <v>21</v>
      </c>
      <c r="F565" s="216">
        <f t="shared" si="17"/>
        <v>1629.4117647058822</v>
      </c>
      <c r="G565" s="216">
        <f t="shared" si="18"/>
        <v>100</v>
      </c>
    </row>
    <row r="566" spans="1:7" ht="19.5" customHeight="1">
      <c r="A566" s="221" t="s">
        <v>692</v>
      </c>
      <c r="B566" s="215">
        <f>134-1</f>
        <v>133</v>
      </c>
      <c r="C566" s="215">
        <v>251</v>
      </c>
      <c r="D566" s="215">
        <v>251</v>
      </c>
      <c r="E566" s="215">
        <v>174</v>
      </c>
      <c r="F566" s="216">
        <f t="shared" si="17"/>
        <v>188.7218045112782</v>
      </c>
      <c r="G566" s="216">
        <f t="shared" si="18"/>
        <v>100</v>
      </c>
    </row>
    <row r="567" spans="1:7" ht="19.5" customHeight="1">
      <c r="A567" s="221" t="s">
        <v>693</v>
      </c>
      <c r="B567" s="215">
        <v>168</v>
      </c>
      <c r="C567" s="215">
        <v>622</v>
      </c>
      <c r="D567" s="215">
        <v>622</v>
      </c>
      <c r="E567" s="215">
        <v>169</v>
      </c>
      <c r="F567" s="216">
        <f t="shared" si="17"/>
        <v>370.23809523809524</v>
      </c>
      <c r="G567" s="216">
        <f t="shared" si="18"/>
        <v>100</v>
      </c>
    </row>
    <row r="568" spans="1:7" ht="19.5" customHeight="1">
      <c r="A568" s="221" t="s">
        <v>694</v>
      </c>
      <c r="B568" s="215">
        <v>4</v>
      </c>
      <c r="C568" s="215">
        <v>12</v>
      </c>
      <c r="D568" s="215">
        <v>12</v>
      </c>
      <c r="E568" s="215">
        <v>45</v>
      </c>
      <c r="F568" s="216">
        <f t="shared" si="17"/>
        <v>300</v>
      </c>
      <c r="G568" s="216">
        <f t="shared" si="18"/>
        <v>100</v>
      </c>
    </row>
    <row r="569" spans="1:7" ht="19.5" customHeight="1">
      <c r="A569" s="221" t="s">
        <v>695</v>
      </c>
      <c r="B569" s="215">
        <v>1</v>
      </c>
      <c r="C569" s="215">
        <v>83</v>
      </c>
      <c r="D569" s="215">
        <v>83</v>
      </c>
      <c r="E569" s="215">
        <v>2</v>
      </c>
      <c r="F569" s="216">
        <f t="shared" si="17"/>
        <v>8300</v>
      </c>
      <c r="G569" s="216">
        <f t="shared" si="18"/>
        <v>100</v>
      </c>
    </row>
    <row r="570" spans="1:7" ht="19.5" customHeight="1">
      <c r="A570" s="221" t="s">
        <v>696</v>
      </c>
      <c r="B570" s="215"/>
      <c r="C570" s="215">
        <v>17</v>
      </c>
      <c r="D570" s="215">
        <v>17</v>
      </c>
      <c r="E570" s="215">
        <v>15</v>
      </c>
      <c r="F570" s="216">
        <f t="shared" si="17"/>
        <v>0</v>
      </c>
      <c r="G570" s="216">
        <f t="shared" si="18"/>
        <v>100</v>
      </c>
    </row>
    <row r="571" spans="1:7" ht="19.5" customHeight="1">
      <c r="A571" s="221" t="s">
        <v>697</v>
      </c>
      <c r="B571" s="215"/>
      <c r="C571" s="215">
        <v>6</v>
      </c>
      <c r="D571" s="215">
        <v>6</v>
      </c>
      <c r="E571" s="215">
        <v>50</v>
      </c>
      <c r="F571" s="216">
        <f t="shared" si="17"/>
        <v>0</v>
      </c>
      <c r="G571" s="216">
        <f t="shared" si="18"/>
        <v>100</v>
      </c>
    </row>
    <row r="572" spans="1:7" ht="19.5" customHeight="1">
      <c r="A572" s="221" t="s">
        <v>698</v>
      </c>
      <c r="B572" s="215">
        <v>403</v>
      </c>
      <c r="C572" s="215">
        <v>1062</v>
      </c>
      <c r="D572" s="215">
        <v>1062</v>
      </c>
      <c r="E572" s="215">
        <v>330</v>
      </c>
      <c r="F572" s="216">
        <f t="shared" si="17"/>
        <v>263.5235732009926</v>
      </c>
      <c r="G572" s="216">
        <f t="shared" si="18"/>
        <v>100</v>
      </c>
    </row>
    <row r="573" spans="1:7" ht="19.5" customHeight="1">
      <c r="A573" s="221" t="s">
        <v>699</v>
      </c>
      <c r="B573" s="215"/>
      <c r="C573" s="215">
        <v>1288</v>
      </c>
      <c r="D573" s="215">
        <v>1288</v>
      </c>
      <c r="E573" s="215">
        <v>110</v>
      </c>
      <c r="F573" s="216">
        <f t="shared" si="17"/>
        <v>0</v>
      </c>
      <c r="G573" s="216">
        <f t="shared" si="18"/>
        <v>100</v>
      </c>
    </row>
    <row r="574" spans="1:7" ht="19.5" customHeight="1">
      <c r="A574" s="221" t="s">
        <v>700</v>
      </c>
      <c r="B574" s="215"/>
      <c r="C574" s="215"/>
      <c r="D574" s="215"/>
      <c r="E574" s="215">
        <v>2200</v>
      </c>
      <c r="F574" s="216">
        <f t="shared" si="17"/>
        <v>0</v>
      </c>
      <c r="G574" s="216">
        <f t="shared" si="18"/>
        <v>0</v>
      </c>
    </row>
    <row r="575" spans="1:7" ht="19.5" customHeight="1">
      <c r="A575" s="221" t="s">
        <v>701</v>
      </c>
      <c r="B575" s="215"/>
      <c r="C575" s="215">
        <v>600</v>
      </c>
      <c r="D575" s="215">
        <v>600</v>
      </c>
      <c r="E575" s="215">
        <v>600</v>
      </c>
      <c r="F575" s="216">
        <f t="shared" si="17"/>
        <v>0</v>
      </c>
      <c r="G575" s="216">
        <f t="shared" si="18"/>
        <v>100</v>
      </c>
    </row>
    <row r="576" spans="1:7" ht="19.5" customHeight="1">
      <c r="A576" s="221" t="s">
        <v>702</v>
      </c>
      <c r="B576" s="215">
        <v>5216</v>
      </c>
      <c r="C576" s="215">
        <v>5581</v>
      </c>
      <c r="D576" s="215">
        <v>5581</v>
      </c>
      <c r="E576" s="215">
        <v>16375</v>
      </c>
      <c r="F576" s="216">
        <f t="shared" si="17"/>
        <v>106.99769938650307</v>
      </c>
      <c r="G576" s="216">
        <f t="shared" si="18"/>
        <v>100</v>
      </c>
    </row>
    <row r="577" spans="1:7" ht="19.5" customHeight="1">
      <c r="A577" s="221" t="s">
        <v>703</v>
      </c>
      <c r="B577" s="215"/>
      <c r="C577" s="215">
        <v>48</v>
      </c>
      <c r="D577" s="215">
        <v>48</v>
      </c>
      <c r="E577" s="215">
        <v>103</v>
      </c>
      <c r="F577" s="216">
        <f t="shared" si="17"/>
        <v>0</v>
      </c>
      <c r="G577" s="216">
        <f t="shared" si="18"/>
        <v>100</v>
      </c>
    </row>
    <row r="578" spans="1:7" ht="19.5" customHeight="1">
      <c r="A578" s="221" t="s">
        <v>704</v>
      </c>
      <c r="B578" s="215"/>
      <c r="C578" s="215"/>
      <c r="D578" s="215"/>
      <c r="E578" s="215">
        <v>0</v>
      </c>
      <c r="F578" s="216">
        <f t="shared" si="17"/>
        <v>0</v>
      </c>
      <c r="G578" s="216">
        <f t="shared" si="18"/>
        <v>0</v>
      </c>
    </row>
    <row r="579" spans="1:7" ht="19.5" customHeight="1">
      <c r="A579" s="221" t="s">
        <v>705</v>
      </c>
      <c r="B579" s="215">
        <f>6165-1</f>
        <v>6164</v>
      </c>
      <c r="C579" s="215">
        <v>4770</v>
      </c>
      <c r="D579" s="215">
        <v>4770</v>
      </c>
      <c r="E579" s="215">
        <v>1943</v>
      </c>
      <c r="F579" s="216">
        <f t="shared" si="17"/>
        <v>77.38481505515898</v>
      </c>
      <c r="G579" s="216">
        <f t="shared" si="18"/>
        <v>100</v>
      </c>
    </row>
    <row r="580" spans="1:7" ht="19.5" customHeight="1">
      <c r="A580" s="221" t="s">
        <v>706</v>
      </c>
      <c r="B580" s="215">
        <f>SUM(B581:B584)</f>
        <v>20</v>
      </c>
      <c r="C580" s="215">
        <f>SUM(C581:C584)</f>
        <v>433</v>
      </c>
      <c r="D580" s="215">
        <f>SUM(D581:D584)</f>
        <v>432</v>
      </c>
      <c r="E580" s="215">
        <f>SUM(E581:E584)</f>
        <v>2431</v>
      </c>
      <c r="F580" s="216">
        <f t="shared" si="17"/>
        <v>2160</v>
      </c>
      <c r="G580" s="216">
        <f t="shared" si="18"/>
        <v>99.76905311778292</v>
      </c>
    </row>
    <row r="581" spans="1:7" ht="19.5" customHeight="1">
      <c r="A581" s="221" t="s">
        <v>707</v>
      </c>
      <c r="B581" s="215"/>
      <c r="C581" s="215">
        <f>539-110</f>
        <v>429</v>
      </c>
      <c r="D581" s="215">
        <v>428</v>
      </c>
      <c r="E581" s="215">
        <v>2366</v>
      </c>
      <c r="F581" s="216">
        <f t="shared" si="17"/>
        <v>0</v>
      </c>
      <c r="G581" s="216">
        <f t="shared" si="18"/>
        <v>99.76689976689977</v>
      </c>
    </row>
    <row r="582" spans="1:7" ht="19.5" customHeight="1">
      <c r="A582" s="221" t="s">
        <v>708</v>
      </c>
      <c r="B582" s="215"/>
      <c r="C582" s="215"/>
      <c r="D582" s="215"/>
      <c r="E582" s="215">
        <v>7</v>
      </c>
      <c r="F582" s="216">
        <f t="shared" si="17"/>
        <v>0</v>
      </c>
      <c r="G582" s="216">
        <f t="shared" si="18"/>
        <v>0</v>
      </c>
    </row>
    <row r="583" spans="1:7" ht="19.5" customHeight="1">
      <c r="A583" s="221" t="s">
        <v>709</v>
      </c>
      <c r="B583" s="215">
        <v>20</v>
      </c>
      <c r="C583" s="215">
        <v>4</v>
      </c>
      <c r="D583" s="215">
        <v>4</v>
      </c>
      <c r="E583" s="215">
        <v>49</v>
      </c>
      <c r="F583" s="216">
        <f t="shared" si="17"/>
        <v>20</v>
      </c>
      <c r="G583" s="216">
        <f t="shared" si="18"/>
        <v>100</v>
      </c>
    </row>
    <row r="584" spans="1:7" ht="19.5" customHeight="1">
      <c r="A584" s="221" t="s">
        <v>710</v>
      </c>
      <c r="B584" s="215"/>
      <c r="C584" s="215"/>
      <c r="D584" s="215"/>
      <c r="E584" s="215">
        <v>9</v>
      </c>
      <c r="F584" s="216">
        <f t="shared" si="17"/>
        <v>0</v>
      </c>
      <c r="G584" s="216">
        <f t="shared" si="18"/>
        <v>0</v>
      </c>
    </row>
    <row r="585" spans="1:7" ht="19.5" customHeight="1">
      <c r="A585" s="221" t="s">
        <v>711</v>
      </c>
      <c r="B585" s="215">
        <f>SUM(B586:B592)</f>
        <v>2292</v>
      </c>
      <c r="C585" s="215">
        <f>SUM(C586:C592)</f>
        <v>24690</v>
      </c>
      <c r="D585" s="215">
        <f>SUM(D586:D592)</f>
        <v>24690</v>
      </c>
      <c r="E585" s="215">
        <f>SUM(E586:E592)</f>
        <v>19458</v>
      </c>
      <c r="F585" s="216">
        <f t="shared" si="17"/>
        <v>1077.2251308900525</v>
      </c>
      <c r="G585" s="216">
        <f t="shared" si="18"/>
        <v>100</v>
      </c>
    </row>
    <row r="586" spans="1:7" ht="19.5" customHeight="1">
      <c r="A586" s="221" t="s">
        <v>712</v>
      </c>
      <c r="B586" s="215">
        <v>145</v>
      </c>
      <c r="C586" s="215">
        <v>376</v>
      </c>
      <c r="D586" s="215">
        <v>376</v>
      </c>
      <c r="E586" s="215">
        <v>62</v>
      </c>
      <c r="F586" s="216">
        <f t="shared" si="17"/>
        <v>259.31034482758616</v>
      </c>
      <c r="G586" s="216">
        <f t="shared" si="18"/>
        <v>100</v>
      </c>
    </row>
    <row r="587" spans="1:7" ht="19.5" customHeight="1">
      <c r="A587" s="221" t="s">
        <v>713</v>
      </c>
      <c r="B587" s="215">
        <v>50</v>
      </c>
      <c r="C587" s="215">
        <v>30</v>
      </c>
      <c r="D587" s="215">
        <v>30</v>
      </c>
      <c r="E587" s="215"/>
      <c r="F587" s="216">
        <f t="shared" si="17"/>
        <v>60</v>
      </c>
      <c r="G587" s="216">
        <f t="shared" si="18"/>
        <v>100</v>
      </c>
    </row>
    <row r="588" spans="1:7" ht="19.5" customHeight="1">
      <c r="A588" s="256" t="s">
        <v>714</v>
      </c>
      <c r="B588" s="215"/>
      <c r="C588" s="215">
        <v>109</v>
      </c>
      <c r="D588" s="215">
        <v>109</v>
      </c>
      <c r="E588" s="215">
        <v>437</v>
      </c>
      <c r="F588" s="216">
        <f t="shared" si="17"/>
        <v>0</v>
      </c>
      <c r="G588" s="216">
        <f t="shared" si="18"/>
        <v>100</v>
      </c>
    </row>
    <row r="589" spans="1:7" ht="19.5" customHeight="1">
      <c r="A589" s="221" t="s">
        <v>715</v>
      </c>
      <c r="B589" s="215">
        <v>573</v>
      </c>
      <c r="C589" s="215">
        <v>629</v>
      </c>
      <c r="D589" s="215">
        <v>629</v>
      </c>
      <c r="E589" s="215">
        <v>1018</v>
      </c>
      <c r="F589" s="216">
        <f t="shared" si="17"/>
        <v>109.77312390924956</v>
      </c>
      <c r="G589" s="216">
        <f t="shared" si="18"/>
        <v>100</v>
      </c>
    </row>
    <row r="590" spans="1:7" ht="19.5" customHeight="1">
      <c r="A590" s="221" t="s">
        <v>716</v>
      </c>
      <c r="B590" s="215">
        <v>1196</v>
      </c>
      <c r="C590" s="215">
        <v>8993</v>
      </c>
      <c r="D590" s="215">
        <v>8993</v>
      </c>
      <c r="E590" s="215">
        <v>10989</v>
      </c>
      <c r="F590" s="216">
        <f t="shared" si="17"/>
        <v>751.9230769230769</v>
      </c>
      <c r="G590" s="216">
        <f t="shared" si="18"/>
        <v>100</v>
      </c>
    </row>
    <row r="591" spans="1:7" ht="19.5" customHeight="1">
      <c r="A591" s="221" t="s">
        <v>717</v>
      </c>
      <c r="B591" s="215">
        <v>2</v>
      </c>
      <c r="C591" s="215">
        <v>2</v>
      </c>
      <c r="D591" s="215">
        <v>2</v>
      </c>
      <c r="E591" s="215">
        <v>2</v>
      </c>
      <c r="F591" s="216">
        <f t="shared" si="17"/>
        <v>100</v>
      </c>
      <c r="G591" s="216">
        <f t="shared" si="18"/>
        <v>100</v>
      </c>
    </row>
    <row r="592" spans="1:7" ht="19.5" customHeight="1">
      <c r="A592" s="221" t="s">
        <v>718</v>
      </c>
      <c r="B592" s="215">
        <f>298+28</f>
        <v>326</v>
      </c>
      <c r="C592" s="215">
        <f>14674-123</f>
        <v>14551</v>
      </c>
      <c r="D592" s="215">
        <f>14674-123</f>
        <v>14551</v>
      </c>
      <c r="E592" s="215">
        <v>6950</v>
      </c>
      <c r="F592" s="216">
        <f t="shared" si="17"/>
        <v>4463.496932515337</v>
      </c>
      <c r="G592" s="216">
        <f t="shared" si="18"/>
        <v>100</v>
      </c>
    </row>
    <row r="593" spans="1:7" ht="19.5" customHeight="1">
      <c r="A593" s="221" t="s">
        <v>719</v>
      </c>
      <c r="B593" s="215">
        <f>SUM(B595)</f>
        <v>755</v>
      </c>
      <c r="C593" s="215">
        <f>SUM(C594:C595)</f>
        <v>3439</v>
      </c>
      <c r="D593" s="215">
        <f>SUM(D594:D595)</f>
        <v>3439</v>
      </c>
      <c r="E593" s="215">
        <f>SUM(E595)</f>
        <v>300</v>
      </c>
      <c r="F593" s="216">
        <f t="shared" si="17"/>
        <v>455.4966887417218</v>
      </c>
      <c r="G593" s="216">
        <f t="shared" si="18"/>
        <v>100</v>
      </c>
    </row>
    <row r="594" spans="1:7" ht="19.5" customHeight="1">
      <c r="A594" s="221" t="s">
        <v>720</v>
      </c>
      <c r="B594" s="215"/>
      <c r="C594" s="215">
        <v>2229</v>
      </c>
      <c r="D594" s="215">
        <v>2229</v>
      </c>
      <c r="E594" s="215"/>
      <c r="F594" s="216"/>
      <c r="G594" s="216"/>
    </row>
    <row r="595" spans="1:7" ht="19.5" customHeight="1">
      <c r="A595" s="221" t="s">
        <v>721</v>
      </c>
      <c r="B595" s="215">
        <v>755</v>
      </c>
      <c r="C595" s="215">
        <v>1210</v>
      </c>
      <c r="D595" s="215">
        <v>1210</v>
      </c>
      <c r="E595" s="215">
        <v>300</v>
      </c>
      <c r="F595" s="216">
        <f t="shared" si="17"/>
        <v>160.26490066225165</v>
      </c>
      <c r="G595" s="216">
        <f t="shared" si="18"/>
        <v>100</v>
      </c>
    </row>
    <row r="596" spans="1:7" ht="19.5" customHeight="1">
      <c r="A596" s="221" t="s">
        <v>722</v>
      </c>
      <c r="B596" s="215">
        <f>SUM(B597:B598)</f>
        <v>0</v>
      </c>
      <c r="C596" s="215">
        <f>SUM(C597:C598)</f>
        <v>55</v>
      </c>
      <c r="D596" s="215">
        <f>SUM(D597:D598)</f>
        <v>55</v>
      </c>
      <c r="E596" s="215">
        <f>SUM(E597:E598)</f>
        <v>1152</v>
      </c>
      <c r="F596" s="216">
        <f t="shared" si="17"/>
        <v>0</v>
      </c>
      <c r="G596" s="216">
        <f t="shared" si="18"/>
        <v>100</v>
      </c>
    </row>
    <row r="597" spans="1:7" ht="19.5" customHeight="1">
      <c r="A597" s="221" t="s">
        <v>723</v>
      </c>
      <c r="B597" s="215"/>
      <c r="C597" s="215">
        <v>55</v>
      </c>
      <c r="D597" s="215">
        <v>55</v>
      </c>
      <c r="E597" s="215">
        <v>347</v>
      </c>
      <c r="F597" s="216">
        <f t="shared" si="17"/>
        <v>0</v>
      </c>
      <c r="G597" s="216">
        <f t="shared" si="18"/>
        <v>100</v>
      </c>
    </row>
    <row r="598" spans="1:7" ht="19.5" customHeight="1">
      <c r="A598" s="221" t="s">
        <v>724</v>
      </c>
      <c r="B598" s="215"/>
      <c r="C598" s="215"/>
      <c r="D598" s="215"/>
      <c r="E598" s="215">
        <v>805</v>
      </c>
      <c r="F598" s="216">
        <f t="shared" si="17"/>
        <v>0</v>
      </c>
      <c r="G598" s="216">
        <f t="shared" si="18"/>
        <v>0</v>
      </c>
    </row>
    <row r="599" spans="1:7" ht="19.5" customHeight="1">
      <c r="A599" s="221" t="s">
        <v>725</v>
      </c>
      <c r="B599" s="215">
        <f>SUM(B600:B602)</f>
        <v>640</v>
      </c>
      <c r="C599" s="215">
        <f>SUM(C600:C602)</f>
        <v>872</v>
      </c>
      <c r="D599" s="215">
        <f>SUM(D600:D602)</f>
        <v>872</v>
      </c>
      <c r="E599" s="215">
        <f>SUM(E600:E602)</f>
        <v>364</v>
      </c>
      <c r="F599" s="216">
        <f t="shared" si="17"/>
        <v>136.25</v>
      </c>
      <c r="G599" s="216">
        <f t="shared" si="18"/>
        <v>100</v>
      </c>
    </row>
    <row r="600" spans="1:7" ht="19.5" customHeight="1">
      <c r="A600" s="221" t="s">
        <v>726</v>
      </c>
      <c r="B600" s="215">
        <v>190</v>
      </c>
      <c r="C600" s="215">
        <f>247+123</f>
        <v>370</v>
      </c>
      <c r="D600" s="215">
        <f>247+123</f>
        <v>370</v>
      </c>
      <c r="E600" s="215">
        <v>92</v>
      </c>
      <c r="F600" s="216">
        <f t="shared" si="17"/>
        <v>194.73684210526315</v>
      </c>
      <c r="G600" s="216">
        <f t="shared" si="18"/>
        <v>100</v>
      </c>
    </row>
    <row r="601" spans="1:7" ht="19.5" customHeight="1">
      <c r="A601" s="221" t="s">
        <v>727</v>
      </c>
      <c r="B601" s="215">
        <v>450</v>
      </c>
      <c r="C601" s="215">
        <v>502</v>
      </c>
      <c r="D601" s="215">
        <v>502</v>
      </c>
      <c r="E601" s="215">
        <v>272</v>
      </c>
      <c r="F601" s="216">
        <f t="shared" si="17"/>
        <v>111.55555555555556</v>
      </c>
      <c r="G601" s="216">
        <f t="shared" si="18"/>
        <v>100</v>
      </c>
    </row>
    <row r="602" spans="1:7" ht="19.5" customHeight="1">
      <c r="A602" s="237" t="s">
        <v>728</v>
      </c>
      <c r="B602" s="215"/>
      <c r="C602" s="215"/>
      <c r="D602" s="215"/>
      <c r="E602" s="215"/>
      <c r="F602" s="216">
        <f t="shared" si="17"/>
        <v>0</v>
      </c>
      <c r="G602" s="216">
        <f t="shared" si="18"/>
        <v>0</v>
      </c>
    </row>
    <row r="603" spans="1:7" ht="19.5" customHeight="1">
      <c r="A603" s="221" t="s">
        <v>729</v>
      </c>
      <c r="B603" s="215">
        <f>SUM(B604)</f>
        <v>660</v>
      </c>
      <c r="C603" s="215">
        <f>SUM(C604)</f>
        <v>450</v>
      </c>
      <c r="D603" s="215">
        <f>SUM(D604)</f>
        <v>0</v>
      </c>
      <c r="E603" s="215">
        <f>SUM(E604)</f>
        <v>0</v>
      </c>
      <c r="F603" s="216">
        <f t="shared" si="17"/>
        <v>0</v>
      </c>
      <c r="G603" s="216">
        <f t="shared" si="18"/>
        <v>0</v>
      </c>
    </row>
    <row r="604" spans="1:7" ht="19.5" customHeight="1">
      <c r="A604" s="221" t="s">
        <v>730</v>
      </c>
      <c r="B604" s="215">
        <v>660</v>
      </c>
      <c r="C604" s="253">
        <v>450</v>
      </c>
      <c r="D604" s="215"/>
      <c r="E604" s="215"/>
      <c r="F604" s="216">
        <f>IF(B604=0,0,D604/B604*100)</f>
        <v>0</v>
      </c>
      <c r="G604" s="216">
        <f>IF(D604=0,0,D604/C604*100)</f>
        <v>0</v>
      </c>
    </row>
    <row r="605" spans="1:7" ht="19.5" customHeight="1">
      <c r="A605" s="221" t="s">
        <v>92</v>
      </c>
      <c r="B605" s="215">
        <f>SUM(B606,B611,B613,B615)</f>
        <v>684</v>
      </c>
      <c r="C605" s="215">
        <f>SUM(C606,C611,C613,C615)</f>
        <v>3371</v>
      </c>
      <c r="D605" s="215">
        <f>SUM(D606,D611,D613,D615)</f>
        <v>3371</v>
      </c>
      <c r="E605" s="215">
        <f>SUM(E606,E611,E613,E615)</f>
        <v>1001</v>
      </c>
      <c r="F605" s="216">
        <f t="shared" si="17"/>
        <v>492.8362573099415</v>
      </c>
      <c r="G605" s="216">
        <f t="shared" si="18"/>
        <v>100</v>
      </c>
    </row>
    <row r="606" spans="1:7" ht="19.5" customHeight="1">
      <c r="A606" s="221" t="s">
        <v>731</v>
      </c>
      <c r="B606" s="215">
        <f>SUM(B607:B610)</f>
        <v>654</v>
      </c>
      <c r="C606" s="215">
        <f>SUM(C607:C610)</f>
        <v>3323</v>
      </c>
      <c r="D606" s="215">
        <f>SUM(D607:D610)</f>
        <v>3323</v>
      </c>
      <c r="E606" s="215">
        <f>SUM(E607:E610)</f>
        <v>936</v>
      </c>
      <c r="F606" s="216">
        <f t="shared" si="17"/>
        <v>508.1039755351682</v>
      </c>
      <c r="G606" s="216">
        <f t="shared" si="18"/>
        <v>100</v>
      </c>
    </row>
    <row r="607" spans="1:7" ht="19.5" customHeight="1">
      <c r="A607" s="221" t="s">
        <v>732</v>
      </c>
      <c r="B607" s="215">
        <v>100</v>
      </c>
      <c r="C607" s="215">
        <v>2</v>
      </c>
      <c r="D607" s="215">
        <v>2</v>
      </c>
      <c r="E607" s="215">
        <v>9</v>
      </c>
      <c r="F607" s="216">
        <f t="shared" si="17"/>
        <v>2</v>
      </c>
      <c r="G607" s="216">
        <f t="shared" si="18"/>
        <v>100</v>
      </c>
    </row>
    <row r="608" spans="1:7" ht="19.5" customHeight="1">
      <c r="A608" s="221" t="s">
        <v>733</v>
      </c>
      <c r="B608" s="215"/>
      <c r="C608" s="215">
        <v>573</v>
      </c>
      <c r="D608" s="215">
        <v>573</v>
      </c>
      <c r="E608" s="215">
        <v>322</v>
      </c>
      <c r="F608" s="216">
        <f t="shared" si="17"/>
        <v>0</v>
      </c>
      <c r="G608" s="216">
        <f t="shared" si="18"/>
        <v>100</v>
      </c>
    </row>
    <row r="609" spans="1:7" ht="19.5" customHeight="1">
      <c r="A609" s="221" t="s">
        <v>734</v>
      </c>
      <c r="B609" s="215"/>
      <c r="C609" s="215"/>
      <c r="D609" s="215"/>
      <c r="E609" s="215"/>
      <c r="F609" s="216">
        <f t="shared" si="17"/>
        <v>0</v>
      </c>
      <c r="G609" s="216">
        <f t="shared" si="18"/>
        <v>0</v>
      </c>
    </row>
    <row r="610" spans="1:7" ht="19.5" customHeight="1">
      <c r="A610" s="221" t="s">
        <v>735</v>
      </c>
      <c r="B610" s="215">
        <v>554</v>
      </c>
      <c r="C610" s="215">
        <v>2748</v>
      </c>
      <c r="D610" s="215">
        <v>2748</v>
      </c>
      <c r="E610" s="215">
        <v>605</v>
      </c>
      <c r="F610" s="216">
        <f t="shared" si="17"/>
        <v>496.02888086642605</v>
      </c>
      <c r="G610" s="216">
        <f t="shared" si="18"/>
        <v>100</v>
      </c>
    </row>
    <row r="611" spans="1:7" ht="19.5" customHeight="1">
      <c r="A611" s="221" t="s">
        <v>736</v>
      </c>
      <c r="B611" s="215">
        <f>SUM(B612)</f>
        <v>0</v>
      </c>
      <c r="C611" s="215">
        <f>SUM(C612)</f>
        <v>18</v>
      </c>
      <c r="D611" s="215">
        <f>SUM(D612)</f>
        <v>18</v>
      </c>
      <c r="E611" s="215">
        <f>SUM(E612)</f>
        <v>35</v>
      </c>
      <c r="F611" s="216">
        <f t="shared" si="17"/>
        <v>0</v>
      </c>
      <c r="G611" s="216">
        <f t="shared" si="18"/>
        <v>100</v>
      </c>
    </row>
    <row r="612" spans="1:7" ht="19.5" customHeight="1">
      <c r="A612" s="221" t="s">
        <v>737</v>
      </c>
      <c r="B612" s="215"/>
      <c r="C612" s="215">
        <v>18</v>
      </c>
      <c r="D612" s="215">
        <v>18</v>
      </c>
      <c r="E612" s="215">
        <v>35</v>
      </c>
      <c r="F612" s="216">
        <f t="shared" si="17"/>
        <v>0</v>
      </c>
      <c r="G612" s="216">
        <f t="shared" si="18"/>
        <v>100</v>
      </c>
    </row>
    <row r="613" spans="1:7" ht="19.5" customHeight="1">
      <c r="A613" s="221" t="s">
        <v>738</v>
      </c>
      <c r="B613" s="215">
        <f>SUM(B614)</f>
        <v>0</v>
      </c>
      <c r="C613" s="215">
        <f>SUM(C614)</f>
        <v>0</v>
      </c>
      <c r="D613" s="215">
        <f>SUM(D614)</f>
        <v>0</v>
      </c>
      <c r="E613" s="215">
        <f>SUM(E614)</f>
        <v>0</v>
      </c>
      <c r="F613" s="216">
        <f aca="true" t="shared" si="19" ref="F613:F695">IF(B613=0,0,D613/B613*100)</f>
        <v>0</v>
      </c>
      <c r="G613" s="216">
        <f aca="true" t="shared" si="20" ref="G613:G695">IF(D613=0,0,D613/C613*100)</f>
        <v>0</v>
      </c>
    </row>
    <row r="614" spans="1:7" ht="19.5" customHeight="1">
      <c r="A614" s="221" t="s">
        <v>739</v>
      </c>
      <c r="B614" s="215"/>
      <c r="C614" s="215"/>
      <c r="D614" s="215">
        <v>0</v>
      </c>
      <c r="E614" s="215"/>
      <c r="F614" s="216">
        <f t="shared" si="19"/>
        <v>0</v>
      </c>
      <c r="G614" s="216">
        <f t="shared" si="20"/>
        <v>0</v>
      </c>
    </row>
    <row r="615" spans="1:7" ht="19.5" customHeight="1">
      <c r="A615" s="221" t="s">
        <v>740</v>
      </c>
      <c r="B615" s="215">
        <f>SUM(B616)</f>
        <v>30</v>
      </c>
      <c r="C615" s="215">
        <f>SUM(C616)</f>
        <v>30</v>
      </c>
      <c r="D615" s="215">
        <f>SUM(D616)</f>
        <v>30</v>
      </c>
      <c r="E615" s="215">
        <f>SUM(E616)</f>
        <v>30</v>
      </c>
      <c r="F615" s="216">
        <f t="shared" si="19"/>
        <v>100</v>
      </c>
      <c r="G615" s="216">
        <f t="shared" si="20"/>
        <v>100</v>
      </c>
    </row>
    <row r="616" spans="1:7" ht="19.5" customHeight="1">
      <c r="A616" s="221" t="s">
        <v>741</v>
      </c>
      <c r="B616" s="215">
        <v>30</v>
      </c>
      <c r="C616" s="215">
        <v>30</v>
      </c>
      <c r="D616" s="215">
        <v>30</v>
      </c>
      <c r="E616" s="215">
        <v>30</v>
      </c>
      <c r="F616" s="216">
        <f t="shared" si="19"/>
        <v>100</v>
      </c>
      <c r="G616" s="216">
        <f t="shared" si="20"/>
        <v>100</v>
      </c>
    </row>
    <row r="617" spans="1:7" ht="19.5" customHeight="1">
      <c r="A617" s="221" t="s">
        <v>742</v>
      </c>
      <c r="B617" s="215">
        <f>SUM(B618,B621,B625,B627,B631)</f>
        <v>744</v>
      </c>
      <c r="C617" s="215">
        <f>SUM(C618,C621,C625,C627,C631)</f>
        <v>1217</v>
      </c>
      <c r="D617" s="215">
        <f>SUM(D618,D621,D625,D627,D631)</f>
        <v>1217</v>
      </c>
      <c r="E617" s="215">
        <f>SUM(E618,E621,E625,E627,E631)</f>
        <v>11684</v>
      </c>
      <c r="F617" s="216">
        <f t="shared" si="19"/>
        <v>163.5752688172043</v>
      </c>
      <c r="G617" s="216">
        <f t="shared" si="20"/>
        <v>100</v>
      </c>
    </row>
    <row r="618" spans="1:7" ht="19.5" customHeight="1">
      <c r="A618" s="221" t="s">
        <v>743</v>
      </c>
      <c r="B618" s="215">
        <f>SUM(B619:B620)</f>
        <v>0</v>
      </c>
      <c r="C618" s="215">
        <f>SUM(C619:C620)</f>
        <v>0</v>
      </c>
      <c r="D618" s="215">
        <f>SUM(D619:D620)</f>
        <v>0</v>
      </c>
      <c r="E618" s="215">
        <f>SUM(E619:E620)</f>
        <v>320</v>
      </c>
      <c r="F618" s="216">
        <f t="shared" si="19"/>
        <v>0</v>
      </c>
      <c r="G618" s="216">
        <f t="shared" si="20"/>
        <v>0</v>
      </c>
    </row>
    <row r="619" spans="1:7" ht="19.5" customHeight="1">
      <c r="A619" s="221" t="s">
        <v>744</v>
      </c>
      <c r="B619" s="215"/>
      <c r="C619" s="215"/>
      <c r="D619" s="215"/>
      <c r="E619" s="215">
        <v>320</v>
      </c>
      <c r="F619" s="216">
        <f t="shared" si="19"/>
        <v>0</v>
      </c>
      <c r="G619" s="216">
        <f t="shared" si="20"/>
        <v>0</v>
      </c>
    </row>
    <row r="620" spans="1:7" ht="19.5" customHeight="1">
      <c r="A620" s="221" t="s">
        <v>745</v>
      </c>
      <c r="B620" s="215"/>
      <c r="C620" s="215"/>
      <c r="D620" s="215"/>
      <c r="E620" s="215">
        <v>0</v>
      </c>
      <c r="F620" s="216">
        <f t="shared" si="19"/>
        <v>0</v>
      </c>
      <c r="G620" s="216">
        <f t="shared" si="20"/>
        <v>0</v>
      </c>
    </row>
    <row r="621" spans="1:7" ht="19.5" customHeight="1">
      <c r="A621" s="221" t="s">
        <v>746</v>
      </c>
      <c r="B621" s="215">
        <f>SUM(B622:B624)</f>
        <v>0</v>
      </c>
      <c r="C621" s="215">
        <f>SUM(C622:C624)</f>
        <v>0</v>
      </c>
      <c r="D621" s="215">
        <f>SUM(D622:D624)</f>
        <v>0</v>
      </c>
      <c r="E621" s="215">
        <f>SUM(E622:E624)</f>
        <v>1117</v>
      </c>
      <c r="F621" s="216">
        <f t="shared" si="19"/>
        <v>0</v>
      </c>
      <c r="G621" s="216">
        <f t="shared" si="20"/>
        <v>0</v>
      </c>
    </row>
    <row r="622" spans="1:7" ht="19.5" customHeight="1">
      <c r="A622" s="221" t="s">
        <v>747</v>
      </c>
      <c r="B622" s="215"/>
      <c r="C622" s="215"/>
      <c r="D622" s="215"/>
      <c r="E622" s="215">
        <v>663</v>
      </c>
      <c r="F622" s="216">
        <f t="shared" si="19"/>
        <v>0</v>
      </c>
      <c r="G622" s="216">
        <f t="shared" si="20"/>
        <v>0</v>
      </c>
    </row>
    <row r="623" spans="1:7" ht="19.5" customHeight="1">
      <c r="A623" s="221" t="s">
        <v>748</v>
      </c>
      <c r="B623" s="215"/>
      <c r="C623" s="215"/>
      <c r="D623" s="215"/>
      <c r="E623" s="215">
        <v>374</v>
      </c>
      <c r="F623" s="216">
        <f t="shared" si="19"/>
        <v>0</v>
      </c>
      <c r="G623" s="216">
        <f t="shared" si="20"/>
        <v>0</v>
      </c>
    </row>
    <row r="624" spans="1:7" ht="19.5" customHeight="1">
      <c r="A624" s="221" t="s">
        <v>749</v>
      </c>
      <c r="B624" s="215"/>
      <c r="C624" s="215"/>
      <c r="D624" s="215"/>
      <c r="E624" s="215">
        <v>80</v>
      </c>
      <c r="F624" s="216">
        <f t="shared" si="19"/>
        <v>0</v>
      </c>
      <c r="G624" s="216">
        <f t="shared" si="20"/>
        <v>0</v>
      </c>
    </row>
    <row r="625" spans="1:7" ht="19.5" customHeight="1">
      <c r="A625" s="221" t="s">
        <v>750</v>
      </c>
      <c r="B625" s="215">
        <f>SUM(B626)</f>
        <v>22</v>
      </c>
      <c r="C625" s="215">
        <f>SUM(C626)</f>
        <v>192</v>
      </c>
      <c r="D625" s="215">
        <f>SUM(D626)</f>
        <v>192</v>
      </c>
      <c r="E625" s="215">
        <f>SUM(E626)</f>
        <v>27</v>
      </c>
      <c r="F625" s="216">
        <f t="shared" si="19"/>
        <v>872.7272727272726</v>
      </c>
      <c r="G625" s="216">
        <f t="shared" si="20"/>
        <v>100</v>
      </c>
    </row>
    <row r="626" spans="1:7" ht="19.5" customHeight="1">
      <c r="A626" s="221" t="s">
        <v>751</v>
      </c>
      <c r="B626" s="215">
        <v>22</v>
      </c>
      <c r="C626" s="215">
        <v>192</v>
      </c>
      <c r="D626" s="215">
        <v>192</v>
      </c>
      <c r="E626" s="215">
        <v>27</v>
      </c>
      <c r="F626" s="216">
        <f t="shared" si="19"/>
        <v>872.7272727272726</v>
      </c>
      <c r="G626" s="216">
        <f t="shared" si="20"/>
        <v>100</v>
      </c>
    </row>
    <row r="627" spans="1:7" ht="19.5" customHeight="1">
      <c r="A627" s="221" t="s">
        <v>752</v>
      </c>
      <c r="B627" s="215">
        <f>SUM(B628:B630)</f>
        <v>722</v>
      </c>
      <c r="C627" s="215">
        <f>SUM(C628:C630)</f>
        <v>1025</v>
      </c>
      <c r="D627" s="215">
        <f>SUM(D628:D630)</f>
        <v>1025</v>
      </c>
      <c r="E627" s="215">
        <f>SUM(E628:E630)</f>
        <v>8506</v>
      </c>
      <c r="F627" s="216">
        <f t="shared" si="19"/>
        <v>141.9667590027701</v>
      </c>
      <c r="G627" s="216">
        <f t="shared" si="20"/>
        <v>100</v>
      </c>
    </row>
    <row r="628" spans="1:7" ht="19.5" customHeight="1">
      <c r="A628" s="221" t="s">
        <v>753</v>
      </c>
      <c r="B628" s="215">
        <v>17</v>
      </c>
      <c r="C628" s="215">
        <v>27</v>
      </c>
      <c r="D628" s="215">
        <v>27</v>
      </c>
      <c r="E628" s="215">
        <v>33</v>
      </c>
      <c r="F628" s="216">
        <f t="shared" si="19"/>
        <v>158.8235294117647</v>
      </c>
      <c r="G628" s="216">
        <f t="shared" si="20"/>
        <v>100</v>
      </c>
    </row>
    <row r="629" spans="1:7" ht="19.5" customHeight="1">
      <c r="A629" s="221" t="s">
        <v>754</v>
      </c>
      <c r="B629" s="215">
        <v>380</v>
      </c>
      <c r="C629" s="215">
        <v>698</v>
      </c>
      <c r="D629" s="215">
        <v>698</v>
      </c>
      <c r="E629" s="215">
        <v>8348</v>
      </c>
      <c r="F629" s="216">
        <f t="shared" si="19"/>
        <v>183.68421052631578</v>
      </c>
      <c r="G629" s="216">
        <f t="shared" si="20"/>
        <v>100</v>
      </c>
    </row>
    <row r="630" spans="1:7" ht="19.5" customHeight="1">
      <c r="A630" s="221" t="s">
        <v>755</v>
      </c>
      <c r="B630" s="215">
        <v>325</v>
      </c>
      <c r="C630" s="215">
        <v>300</v>
      </c>
      <c r="D630" s="215">
        <v>300</v>
      </c>
      <c r="E630" s="215">
        <v>125</v>
      </c>
      <c r="F630" s="216">
        <f t="shared" si="19"/>
        <v>92.3076923076923</v>
      </c>
      <c r="G630" s="216">
        <f t="shared" si="20"/>
        <v>100</v>
      </c>
    </row>
    <row r="631" spans="1:7" ht="19.5" customHeight="1">
      <c r="A631" s="221" t="s">
        <v>756</v>
      </c>
      <c r="B631" s="215">
        <f>SUM(B632:B633)</f>
        <v>0</v>
      </c>
      <c r="C631" s="215">
        <f>SUM(C632:C633)</f>
        <v>0</v>
      </c>
      <c r="D631" s="215">
        <f>SUM(D632:D633)</f>
        <v>0</v>
      </c>
      <c r="E631" s="215">
        <f>SUM(E632:E633)</f>
        <v>1714</v>
      </c>
      <c r="F631" s="216">
        <f t="shared" si="19"/>
        <v>0</v>
      </c>
      <c r="G631" s="216">
        <f t="shared" si="20"/>
        <v>0</v>
      </c>
    </row>
    <row r="632" spans="1:7" ht="19.5" customHeight="1">
      <c r="A632" s="221" t="s">
        <v>757</v>
      </c>
      <c r="B632" s="215"/>
      <c r="C632" s="215"/>
      <c r="D632" s="215"/>
      <c r="E632" s="215">
        <v>1714</v>
      </c>
      <c r="F632" s="216">
        <f t="shared" si="19"/>
        <v>0</v>
      </c>
      <c r="G632" s="216">
        <f t="shared" si="20"/>
        <v>0</v>
      </c>
    </row>
    <row r="633" spans="1:7" ht="19.5" customHeight="1">
      <c r="A633" s="221" t="s">
        <v>758</v>
      </c>
      <c r="B633" s="215"/>
      <c r="C633" s="215"/>
      <c r="D633" s="215"/>
      <c r="E633" s="215"/>
      <c r="F633" s="216">
        <f t="shared" si="19"/>
        <v>0</v>
      </c>
      <c r="G633" s="216">
        <f t="shared" si="20"/>
        <v>0</v>
      </c>
    </row>
    <row r="634" spans="1:7" ht="19.5" customHeight="1">
      <c r="A634" s="221" t="s">
        <v>94</v>
      </c>
      <c r="B634" s="215">
        <f>SUM(B635,B637,B642,B644)</f>
        <v>2341</v>
      </c>
      <c r="C634" s="215">
        <f>SUM(C635,C637,C642,C644)</f>
        <v>2853</v>
      </c>
      <c r="D634" s="215">
        <f>SUM(D635,D637,D642,D644)</f>
        <v>2853</v>
      </c>
      <c r="E634" s="215">
        <f>SUM(E635,E637,E642,E644)</f>
        <v>2805</v>
      </c>
      <c r="F634" s="216">
        <f t="shared" si="19"/>
        <v>121.87099530115336</v>
      </c>
      <c r="G634" s="216">
        <f t="shared" si="20"/>
        <v>100</v>
      </c>
    </row>
    <row r="635" spans="1:7" ht="19.5" customHeight="1">
      <c r="A635" s="221" t="s">
        <v>759</v>
      </c>
      <c r="B635" s="215">
        <f>SUM(B636)</f>
        <v>1388</v>
      </c>
      <c r="C635" s="215">
        <f>SUM(C636)</f>
        <v>1315</v>
      </c>
      <c r="D635" s="215">
        <f>SUM(D636)</f>
        <v>1315</v>
      </c>
      <c r="E635" s="215">
        <f>SUM(E636)</f>
        <v>1365</v>
      </c>
      <c r="F635" s="216">
        <f t="shared" si="19"/>
        <v>94.7406340057637</v>
      </c>
      <c r="G635" s="216">
        <f t="shared" si="20"/>
        <v>100</v>
      </c>
    </row>
    <row r="636" spans="1:7" ht="19.5" customHeight="1">
      <c r="A636" s="221" t="s">
        <v>760</v>
      </c>
      <c r="B636" s="215">
        <v>1388</v>
      </c>
      <c r="C636" s="215">
        <f>1314+1</f>
        <v>1315</v>
      </c>
      <c r="D636" s="215">
        <f>1314+1</f>
        <v>1315</v>
      </c>
      <c r="E636" s="215">
        <v>1365</v>
      </c>
      <c r="F636" s="216">
        <f t="shared" si="19"/>
        <v>94.7406340057637</v>
      </c>
      <c r="G636" s="216">
        <f t="shared" si="20"/>
        <v>100</v>
      </c>
    </row>
    <row r="637" spans="1:7" s="32" customFormat="1" ht="19.5" customHeight="1">
      <c r="A637" s="221" t="s">
        <v>761</v>
      </c>
      <c r="B637" s="215">
        <f>SUM(B638:B641)</f>
        <v>0</v>
      </c>
      <c r="C637" s="215">
        <f>SUM(C638:C641)</f>
        <v>0</v>
      </c>
      <c r="D637" s="215">
        <f>SUM(D638:D641)</f>
        <v>0</v>
      </c>
      <c r="E637" s="215">
        <f>SUM(E638:E641)</f>
        <v>65</v>
      </c>
      <c r="F637" s="216">
        <f t="shared" si="19"/>
        <v>0</v>
      </c>
      <c r="G637" s="216">
        <f t="shared" si="20"/>
        <v>0</v>
      </c>
    </row>
    <row r="638" spans="1:7" ht="19.5" customHeight="1">
      <c r="A638" s="221" t="s">
        <v>762</v>
      </c>
      <c r="B638" s="215"/>
      <c r="C638" s="215"/>
      <c r="D638" s="215"/>
      <c r="E638" s="215">
        <v>65</v>
      </c>
      <c r="F638" s="216">
        <f t="shared" si="19"/>
        <v>0</v>
      </c>
      <c r="G638" s="216">
        <f t="shared" si="20"/>
        <v>0</v>
      </c>
    </row>
    <row r="639" spans="1:7" ht="19.5" customHeight="1">
      <c r="A639" s="221" t="s">
        <v>763</v>
      </c>
      <c r="B639" s="215"/>
      <c r="C639" s="215"/>
      <c r="D639" s="215"/>
      <c r="E639" s="215"/>
      <c r="F639" s="216">
        <f t="shared" si="19"/>
        <v>0</v>
      </c>
      <c r="G639" s="216">
        <f t="shared" si="20"/>
        <v>0</v>
      </c>
    </row>
    <row r="640" spans="1:7" ht="19.5" customHeight="1">
      <c r="A640" s="221" t="s">
        <v>764</v>
      </c>
      <c r="B640" s="215"/>
      <c r="C640" s="215"/>
      <c r="D640" s="215"/>
      <c r="E640" s="215"/>
      <c r="F640" s="216">
        <f t="shared" si="19"/>
        <v>0</v>
      </c>
      <c r="G640" s="216">
        <f t="shared" si="20"/>
        <v>0</v>
      </c>
    </row>
    <row r="641" spans="1:7" ht="22.5" customHeight="1">
      <c r="A641" s="221" t="s">
        <v>765</v>
      </c>
      <c r="B641" s="215"/>
      <c r="C641" s="215"/>
      <c r="D641" s="215"/>
      <c r="E641" s="215"/>
      <c r="F641" s="216">
        <f t="shared" si="19"/>
        <v>0</v>
      </c>
      <c r="G641" s="216">
        <f t="shared" si="20"/>
        <v>0</v>
      </c>
    </row>
    <row r="642" spans="1:7" ht="22.5" customHeight="1">
      <c r="A642" s="221" t="s">
        <v>766</v>
      </c>
      <c r="B642" s="215">
        <f>SUM(B643)</f>
        <v>200</v>
      </c>
      <c r="C642" s="215">
        <f>SUM(C643)</f>
        <v>644</v>
      </c>
      <c r="D642" s="215">
        <f>SUM(D643)</f>
        <v>644</v>
      </c>
      <c r="E642" s="215">
        <f>SUM(E643)</f>
        <v>1282</v>
      </c>
      <c r="F642" s="216">
        <f t="shared" si="19"/>
        <v>322</v>
      </c>
      <c r="G642" s="216">
        <f t="shared" si="20"/>
        <v>100</v>
      </c>
    </row>
    <row r="643" spans="1:7" ht="22.5" customHeight="1">
      <c r="A643" s="221" t="s">
        <v>767</v>
      </c>
      <c r="B643" s="215">
        <v>200</v>
      </c>
      <c r="C643" s="215">
        <v>644</v>
      </c>
      <c r="D643" s="215">
        <v>644</v>
      </c>
      <c r="E643" s="215">
        <v>1282</v>
      </c>
      <c r="F643" s="216">
        <f t="shared" si="19"/>
        <v>322</v>
      </c>
      <c r="G643" s="216">
        <f t="shared" si="20"/>
        <v>100</v>
      </c>
    </row>
    <row r="644" spans="1:7" ht="22.5" customHeight="1">
      <c r="A644" s="221" t="s">
        <v>768</v>
      </c>
      <c r="B644" s="215">
        <f>SUM(B645:B646)</f>
        <v>753</v>
      </c>
      <c r="C644" s="215">
        <f>SUM(C645:C646)</f>
        <v>894</v>
      </c>
      <c r="D644" s="215">
        <f>SUM(D645:D646)</f>
        <v>894</v>
      </c>
      <c r="E644" s="215">
        <f>SUM(E645:E646)</f>
        <v>93</v>
      </c>
      <c r="F644" s="216">
        <f t="shared" si="19"/>
        <v>118.72509960159363</v>
      </c>
      <c r="G644" s="216">
        <f t="shared" si="20"/>
        <v>100</v>
      </c>
    </row>
    <row r="645" spans="1:7" ht="22.5" customHeight="1">
      <c r="A645" s="221" t="s">
        <v>769</v>
      </c>
      <c r="B645" s="215"/>
      <c r="C645" s="215">
        <v>150</v>
      </c>
      <c r="D645" s="215">
        <v>150</v>
      </c>
      <c r="E645" s="215"/>
      <c r="F645" s="216">
        <f t="shared" si="19"/>
        <v>0</v>
      </c>
      <c r="G645" s="216">
        <f t="shared" si="20"/>
        <v>100</v>
      </c>
    </row>
    <row r="646" spans="1:7" ht="22.5" customHeight="1">
      <c r="A646" s="221" t="s">
        <v>770</v>
      </c>
      <c r="B646" s="215">
        <v>753</v>
      </c>
      <c r="C646" s="215">
        <v>744</v>
      </c>
      <c r="D646" s="215">
        <v>744</v>
      </c>
      <c r="E646" s="215">
        <v>93</v>
      </c>
      <c r="F646" s="216">
        <f t="shared" si="19"/>
        <v>98.80478087649402</v>
      </c>
      <c r="G646" s="216">
        <f t="shared" si="20"/>
        <v>100</v>
      </c>
    </row>
    <row r="647" spans="1:7" ht="22.5" customHeight="1">
      <c r="A647" s="221" t="s">
        <v>95</v>
      </c>
      <c r="B647" s="215">
        <f aca="true" t="shared" si="21" ref="B647:E648">SUM(B648)</f>
        <v>50</v>
      </c>
      <c r="C647" s="215">
        <f t="shared" si="21"/>
        <v>51</v>
      </c>
      <c r="D647" s="215">
        <f t="shared" si="21"/>
        <v>51</v>
      </c>
      <c r="E647" s="215">
        <f t="shared" si="21"/>
        <v>18</v>
      </c>
      <c r="F647" s="216">
        <f t="shared" si="19"/>
        <v>102</v>
      </c>
      <c r="G647" s="216">
        <f t="shared" si="20"/>
        <v>100</v>
      </c>
    </row>
    <row r="648" spans="1:7" ht="22.5" customHeight="1">
      <c r="A648" s="221" t="s">
        <v>771</v>
      </c>
      <c r="B648" s="215">
        <f t="shared" si="21"/>
        <v>50</v>
      </c>
      <c r="C648" s="215">
        <f t="shared" si="21"/>
        <v>51</v>
      </c>
      <c r="D648" s="215">
        <f t="shared" si="21"/>
        <v>51</v>
      </c>
      <c r="E648" s="215">
        <f t="shared" si="21"/>
        <v>18</v>
      </c>
      <c r="F648" s="216">
        <f t="shared" si="19"/>
        <v>102</v>
      </c>
      <c r="G648" s="216">
        <f t="shared" si="20"/>
        <v>100</v>
      </c>
    </row>
    <row r="649" spans="1:7" ht="22.5" customHeight="1">
      <c r="A649" s="221" t="s">
        <v>772</v>
      </c>
      <c r="B649" s="215">
        <v>50</v>
      </c>
      <c r="C649" s="215">
        <v>51</v>
      </c>
      <c r="D649" s="215">
        <v>51</v>
      </c>
      <c r="E649" s="215">
        <v>18</v>
      </c>
      <c r="F649" s="216">
        <f t="shared" si="19"/>
        <v>102</v>
      </c>
      <c r="G649" s="216">
        <f t="shared" si="20"/>
        <v>100</v>
      </c>
    </row>
    <row r="650" spans="1:7" ht="22.5" customHeight="1">
      <c r="A650" s="221" t="s">
        <v>96</v>
      </c>
      <c r="B650" s="215">
        <f>SUM(B651:B654)</f>
        <v>2280</v>
      </c>
      <c r="C650" s="215">
        <f>SUM(C651:C654)</f>
        <v>2780</v>
      </c>
      <c r="D650" s="215">
        <f>SUM(D651:D654)</f>
        <v>2780</v>
      </c>
      <c r="E650" s="215">
        <f>SUM(E651:E654)</f>
        <v>3500</v>
      </c>
      <c r="F650" s="216">
        <f t="shared" si="19"/>
        <v>121.9298245614035</v>
      </c>
      <c r="G650" s="216">
        <f t="shared" si="20"/>
        <v>100</v>
      </c>
    </row>
    <row r="651" spans="1:7" ht="22.5" customHeight="1">
      <c r="A651" s="237" t="s">
        <v>773</v>
      </c>
      <c r="B651" s="215"/>
      <c r="C651" s="215">
        <v>500</v>
      </c>
      <c r="D651" s="215">
        <v>500</v>
      </c>
      <c r="E651" s="215"/>
      <c r="F651" s="216">
        <f t="shared" si="19"/>
        <v>0</v>
      </c>
      <c r="G651" s="216">
        <f t="shared" si="20"/>
        <v>100</v>
      </c>
    </row>
    <row r="652" spans="1:7" ht="22.5" customHeight="1">
      <c r="A652" s="237" t="s">
        <v>774</v>
      </c>
      <c r="B652" s="215"/>
      <c r="C652" s="215"/>
      <c r="D652" s="215"/>
      <c r="E652" s="215"/>
      <c r="F652" s="216">
        <f t="shared" si="19"/>
        <v>0</v>
      </c>
      <c r="G652" s="216">
        <f t="shared" si="20"/>
        <v>0</v>
      </c>
    </row>
    <row r="653" spans="1:7" ht="22.5" customHeight="1">
      <c r="A653" s="237" t="s">
        <v>775</v>
      </c>
      <c r="B653" s="215"/>
      <c r="C653" s="215"/>
      <c r="D653" s="215"/>
      <c r="E653" s="215"/>
      <c r="F653" s="216">
        <f t="shared" si="19"/>
        <v>0</v>
      </c>
      <c r="G653" s="216">
        <f t="shared" si="20"/>
        <v>0</v>
      </c>
    </row>
    <row r="654" spans="1:7" ht="22.5" customHeight="1">
      <c r="A654" s="221" t="s">
        <v>776</v>
      </c>
      <c r="B654" s="215">
        <v>2280</v>
      </c>
      <c r="C654" s="215">
        <v>2280</v>
      </c>
      <c r="D654" s="215">
        <v>2280</v>
      </c>
      <c r="E654" s="215">
        <v>3500</v>
      </c>
      <c r="F654" s="216">
        <f t="shared" si="19"/>
        <v>100</v>
      </c>
      <c r="G654" s="216">
        <f t="shared" si="20"/>
        <v>100</v>
      </c>
    </row>
    <row r="655" spans="1:7" ht="22.5" customHeight="1">
      <c r="A655" s="221" t="s">
        <v>777</v>
      </c>
      <c r="B655" s="215">
        <f>SUM(B656,B662,B666)</f>
        <v>2456</v>
      </c>
      <c r="C655" s="215">
        <f>SUM(C656,C662,C666)</f>
        <v>2520</v>
      </c>
      <c r="D655" s="215">
        <f>SUM(D656,D662,D666)</f>
        <v>1858</v>
      </c>
      <c r="E655" s="215">
        <f>SUM(E656,E662,E666)</f>
        <v>3082</v>
      </c>
      <c r="F655" s="216">
        <f t="shared" si="19"/>
        <v>75.6514657980456</v>
      </c>
      <c r="G655" s="216">
        <f t="shared" si="20"/>
        <v>73.73015873015873</v>
      </c>
    </row>
    <row r="656" spans="1:7" ht="22.5" customHeight="1">
      <c r="A656" s="221" t="s">
        <v>778</v>
      </c>
      <c r="B656" s="215">
        <f>SUM(B657:B661)</f>
        <v>2254</v>
      </c>
      <c r="C656" s="215">
        <f>SUM(C657:C661)</f>
        <v>2290</v>
      </c>
      <c r="D656" s="215">
        <f>SUM(D657:D661)</f>
        <v>1628</v>
      </c>
      <c r="E656" s="215">
        <f>SUM(E657:E661)</f>
        <v>2825</v>
      </c>
      <c r="F656" s="216">
        <f t="shared" si="19"/>
        <v>72.22715173025732</v>
      </c>
      <c r="G656" s="216">
        <f t="shared" si="20"/>
        <v>71.09170305676857</v>
      </c>
    </row>
    <row r="657" spans="1:7" ht="22.5" customHeight="1">
      <c r="A657" s="221" t="s">
        <v>779</v>
      </c>
      <c r="B657" s="215">
        <v>25</v>
      </c>
      <c r="C657" s="215">
        <v>25</v>
      </c>
      <c r="D657" s="215">
        <v>25</v>
      </c>
      <c r="E657" s="215">
        <v>67</v>
      </c>
      <c r="F657" s="216">
        <f t="shared" si="19"/>
        <v>100</v>
      </c>
      <c r="G657" s="216">
        <f t="shared" si="20"/>
        <v>100</v>
      </c>
    </row>
    <row r="658" spans="1:7" ht="22.5" customHeight="1">
      <c r="A658" s="237" t="s">
        <v>780</v>
      </c>
      <c r="B658" s="215"/>
      <c r="C658" s="215">
        <v>35</v>
      </c>
      <c r="D658" s="215">
        <v>35</v>
      </c>
      <c r="E658" s="215"/>
      <c r="F658" s="216"/>
      <c r="G658" s="216"/>
    </row>
    <row r="659" spans="1:7" ht="22.5" customHeight="1">
      <c r="A659" s="237" t="s">
        <v>781</v>
      </c>
      <c r="B659" s="215">
        <v>343</v>
      </c>
      <c r="C659" s="215">
        <v>235</v>
      </c>
      <c r="D659" s="215">
        <v>235</v>
      </c>
      <c r="E659" s="215"/>
      <c r="F659" s="216">
        <f aca="true" t="shared" si="22" ref="F659:F665">IF(B659=0,0,D659/B659*100)</f>
        <v>68.5131195335277</v>
      </c>
      <c r="G659" s="216">
        <f aca="true" t="shared" si="23" ref="G659:G665">IF(D659=0,0,D659/C659*100)</f>
        <v>100</v>
      </c>
    </row>
    <row r="660" spans="1:7" ht="22.5" customHeight="1">
      <c r="A660" s="221" t="s">
        <v>782</v>
      </c>
      <c r="B660" s="215">
        <v>100</v>
      </c>
      <c r="C660" s="215">
        <v>381</v>
      </c>
      <c r="D660" s="215">
        <v>381</v>
      </c>
      <c r="E660" s="215">
        <v>987</v>
      </c>
      <c r="F660" s="216">
        <f t="shared" si="22"/>
        <v>381</v>
      </c>
      <c r="G660" s="216">
        <f t="shared" si="23"/>
        <v>100</v>
      </c>
    </row>
    <row r="661" spans="1:7" ht="22.5" customHeight="1">
      <c r="A661" s="221" t="s">
        <v>783</v>
      </c>
      <c r="B661" s="215">
        <v>1786</v>
      </c>
      <c r="C661" s="215">
        <f>952+662</f>
        <v>1614</v>
      </c>
      <c r="D661" s="215">
        <v>952</v>
      </c>
      <c r="E661" s="215">
        <v>1771</v>
      </c>
      <c r="F661" s="216">
        <f t="shared" si="22"/>
        <v>53.30347144456887</v>
      </c>
      <c r="G661" s="216">
        <f t="shared" si="23"/>
        <v>58.98389095415118</v>
      </c>
    </row>
    <row r="662" spans="1:7" ht="22.5" customHeight="1">
      <c r="A662" s="221" t="s">
        <v>784</v>
      </c>
      <c r="B662" s="215">
        <f>SUM(B663:B665)</f>
        <v>0</v>
      </c>
      <c r="C662" s="215">
        <f>SUM(C663:C665)</f>
        <v>0</v>
      </c>
      <c r="D662" s="215">
        <f>SUM(D663:D665)</f>
        <v>0</v>
      </c>
      <c r="E662" s="215">
        <f>SUM(E663:E665)</f>
        <v>0</v>
      </c>
      <c r="F662" s="216">
        <f t="shared" si="22"/>
        <v>0</v>
      </c>
      <c r="G662" s="216">
        <f t="shared" si="23"/>
        <v>0</v>
      </c>
    </row>
    <row r="663" spans="1:7" ht="18.75" customHeight="1">
      <c r="A663" s="221" t="s">
        <v>785</v>
      </c>
      <c r="B663" s="215"/>
      <c r="C663" s="215"/>
      <c r="D663" s="215"/>
      <c r="E663" s="215"/>
      <c r="F663" s="216">
        <f t="shared" si="22"/>
        <v>0</v>
      </c>
      <c r="G663" s="216">
        <f t="shared" si="23"/>
        <v>0</v>
      </c>
    </row>
    <row r="664" spans="1:7" ht="18.75" customHeight="1">
      <c r="A664" s="237" t="s">
        <v>786</v>
      </c>
      <c r="B664" s="215"/>
      <c r="C664" s="215"/>
      <c r="D664" s="215"/>
      <c r="E664" s="215"/>
      <c r="F664" s="216">
        <f t="shared" si="22"/>
        <v>0</v>
      </c>
      <c r="G664" s="216">
        <f t="shared" si="23"/>
        <v>0</v>
      </c>
    </row>
    <row r="665" spans="1:7" ht="18.75" customHeight="1">
      <c r="A665" s="237" t="s">
        <v>787</v>
      </c>
      <c r="B665" s="215"/>
      <c r="C665" s="215"/>
      <c r="D665" s="215"/>
      <c r="E665" s="215"/>
      <c r="F665" s="216">
        <f t="shared" si="22"/>
        <v>0</v>
      </c>
      <c r="G665" s="216">
        <f t="shared" si="23"/>
        <v>0</v>
      </c>
    </row>
    <row r="666" spans="1:7" ht="18.75" customHeight="1">
      <c r="A666" s="221" t="s">
        <v>788</v>
      </c>
      <c r="B666" s="215">
        <f>SUM(B667)</f>
        <v>202</v>
      </c>
      <c r="C666" s="215">
        <f>SUM(C667)</f>
        <v>230</v>
      </c>
      <c r="D666" s="215">
        <f>SUM(D667)</f>
        <v>230</v>
      </c>
      <c r="E666" s="215">
        <f>SUM(E667)</f>
        <v>257</v>
      </c>
      <c r="F666" s="216">
        <f t="shared" si="19"/>
        <v>113.86138613861385</v>
      </c>
      <c r="G666" s="216">
        <f t="shared" si="20"/>
        <v>100</v>
      </c>
    </row>
    <row r="667" spans="1:7" ht="18.75" customHeight="1">
      <c r="A667" s="221" t="s">
        <v>789</v>
      </c>
      <c r="B667" s="215">
        <v>202</v>
      </c>
      <c r="C667" s="215">
        <v>230</v>
      </c>
      <c r="D667" s="215">
        <v>230</v>
      </c>
      <c r="E667" s="215">
        <v>257</v>
      </c>
      <c r="F667" s="216">
        <f t="shared" si="19"/>
        <v>113.86138613861385</v>
      </c>
      <c r="G667" s="216">
        <f t="shared" si="20"/>
        <v>100</v>
      </c>
    </row>
    <row r="668" spans="1:7" ht="18.75" customHeight="1">
      <c r="A668" s="221" t="s">
        <v>98</v>
      </c>
      <c r="B668" s="215">
        <f>SUM(B669,B673,B675)</f>
        <v>29587</v>
      </c>
      <c r="C668" s="215">
        <f>SUM(C669,C673,C675)</f>
        <v>29797</v>
      </c>
      <c r="D668" s="215">
        <f>SUM(D669,D673,D675)</f>
        <v>10500</v>
      </c>
      <c r="E668" s="215">
        <f>SUM(E669,E673,E675)</f>
        <v>10022</v>
      </c>
      <c r="F668" s="216">
        <f t="shared" si="19"/>
        <v>35.48855916449792</v>
      </c>
      <c r="G668" s="216">
        <f t="shared" si="20"/>
        <v>35.23844682350572</v>
      </c>
    </row>
    <row r="669" spans="1:7" ht="18.75" customHeight="1">
      <c r="A669" s="221" t="s">
        <v>790</v>
      </c>
      <c r="B669" s="215">
        <f>SUM(B670:B672)</f>
        <v>29587</v>
      </c>
      <c r="C669" s="215">
        <f>SUM(C670:C672)</f>
        <v>29797</v>
      </c>
      <c r="D669" s="215">
        <f>SUM(D670:D672)</f>
        <v>10500</v>
      </c>
      <c r="E669" s="215">
        <f>SUM(E670:E672)</f>
        <v>10011</v>
      </c>
      <c r="F669" s="216">
        <f t="shared" si="19"/>
        <v>35.48855916449792</v>
      </c>
      <c r="G669" s="216">
        <f t="shared" si="20"/>
        <v>35.23844682350572</v>
      </c>
    </row>
    <row r="670" spans="1:7" ht="18.75" customHeight="1">
      <c r="A670" s="221" t="s">
        <v>791</v>
      </c>
      <c r="B670" s="215">
        <v>10250</v>
      </c>
      <c r="C670" s="215">
        <v>10250</v>
      </c>
      <c r="D670" s="215">
        <v>10250</v>
      </c>
      <c r="E670" s="215"/>
      <c r="F670" s="216">
        <f t="shared" si="19"/>
        <v>100</v>
      </c>
      <c r="G670" s="216">
        <f t="shared" si="20"/>
        <v>100</v>
      </c>
    </row>
    <row r="671" spans="1:7" ht="18.75" customHeight="1">
      <c r="A671" s="221" t="s">
        <v>792</v>
      </c>
      <c r="B671" s="215">
        <v>40</v>
      </c>
      <c r="C671" s="215">
        <v>250</v>
      </c>
      <c r="D671" s="215">
        <v>250</v>
      </c>
      <c r="E671" s="215">
        <v>11</v>
      </c>
      <c r="F671" s="216">
        <f t="shared" si="19"/>
        <v>625</v>
      </c>
      <c r="G671" s="216">
        <f t="shared" si="20"/>
        <v>100</v>
      </c>
    </row>
    <row r="672" spans="1:7" ht="15">
      <c r="A672" s="221" t="s">
        <v>793</v>
      </c>
      <c r="B672" s="215">
        <v>19297</v>
      </c>
      <c r="C672" s="215">
        <v>19297</v>
      </c>
      <c r="D672" s="215"/>
      <c r="E672" s="215">
        <v>10000</v>
      </c>
      <c r="F672" s="216">
        <f t="shared" si="19"/>
        <v>0</v>
      </c>
      <c r="G672" s="216">
        <f t="shared" si="20"/>
        <v>0</v>
      </c>
    </row>
    <row r="673" spans="1:7" ht="15">
      <c r="A673" s="221" t="s">
        <v>794</v>
      </c>
      <c r="B673" s="215">
        <f>SUM(B674)</f>
        <v>0</v>
      </c>
      <c r="C673" s="215">
        <f>SUM(C674)</f>
        <v>0</v>
      </c>
      <c r="D673" s="215">
        <f>SUM(D674)</f>
        <v>0</v>
      </c>
      <c r="E673" s="215">
        <f>SUM(E674)</f>
        <v>9</v>
      </c>
      <c r="F673" s="216">
        <f t="shared" si="19"/>
        <v>0</v>
      </c>
      <c r="G673" s="216">
        <f t="shared" si="20"/>
        <v>0</v>
      </c>
    </row>
    <row r="674" spans="1:7" ht="15">
      <c r="A674" s="221" t="s">
        <v>795</v>
      </c>
      <c r="B674" s="215"/>
      <c r="C674" s="215"/>
      <c r="D674" s="215"/>
      <c r="E674" s="215">
        <v>9</v>
      </c>
      <c r="F674" s="216">
        <f t="shared" si="19"/>
        <v>0</v>
      </c>
      <c r="G674" s="216">
        <f t="shared" si="20"/>
        <v>0</v>
      </c>
    </row>
    <row r="675" spans="1:7" ht="15">
      <c r="A675" s="221" t="s">
        <v>796</v>
      </c>
      <c r="B675" s="215">
        <f>SUM(B676)</f>
        <v>0</v>
      </c>
      <c r="C675" s="215">
        <f>SUM(C676)</f>
        <v>0</v>
      </c>
      <c r="D675" s="215">
        <f>SUM(D676)</f>
        <v>0</v>
      </c>
      <c r="E675" s="215">
        <f>SUM(E676)</f>
        <v>2</v>
      </c>
      <c r="F675" s="216">
        <f t="shared" si="19"/>
        <v>0</v>
      </c>
      <c r="G675" s="216">
        <f t="shared" si="20"/>
        <v>0</v>
      </c>
    </row>
    <row r="676" spans="1:7" ht="15">
      <c r="A676" s="221" t="s">
        <v>797</v>
      </c>
      <c r="B676" s="215"/>
      <c r="C676" s="215"/>
      <c r="D676" s="215"/>
      <c r="E676" s="215">
        <v>2</v>
      </c>
      <c r="F676" s="216">
        <f t="shared" si="19"/>
        <v>0</v>
      </c>
      <c r="G676" s="216">
        <f t="shared" si="20"/>
        <v>0</v>
      </c>
    </row>
    <row r="677" spans="1:7" ht="22.5" customHeight="1">
      <c r="A677" s="221" t="s">
        <v>114</v>
      </c>
      <c r="B677" s="215">
        <f>SUM(B678,B685,B687,B689)</f>
        <v>5122</v>
      </c>
      <c r="C677" s="215">
        <f>SUM(C678,C685,C687,C689)</f>
        <v>6763</v>
      </c>
      <c r="D677" s="215">
        <f>SUM(D678,D685,D687,D689)</f>
        <v>6763</v>
      </c>
      <c r="E677" s="215">
        <f>SUM(E678,E685,E687,E689)</f>
        <v>0</v>
      </c>
      <c r="F677" s="216">
        <f t="shared" si="19"/>
        <v>132.0382663022257</v>
      </c>
      <c r="G677" s="216">
        <f t="shared" si="20"/>
        <v>100</v>
      </c>
    </row>
    <row r="678" spans="1:7" ht="15">
      <c r="A678" s="221" t="s">
        <v>798</v>
      </c>
      <c r="B678" s="215">
        <f>SUM(B679:B684)</f>
        <v>1560</v>
      </c>
      <c r="C678" s="215">
        <f>SUM(C679:C684)</f>
        <v>1909</v>
      </c>
      <c r="D678" s="215">
        <f>SUM(D679:D684)</f>
        <v>1909</v>
      </c>
      <c r="E678" s="215">
        <f>SUM(E679:E684)</f>
        <v>0</v>
      </c>
      <c r="F678" s="216">
        <f t="shared" si="19"/>
        <v>122.37179487179488</v>
      </c>
      <c r="G678" s="216">
        <f t="shared" si="20"/>
        <v>100</v>
      </c>
    </row>
    <row r="679" spans="1:7" ht="15">
      <c r="A679" s="221" t="s">
        <v>799</v>
      </c>
      <c r="B679" s="215">
        <v>6</v>
      </c>
      <c r="C679" s="215">
        <v>6</v>
      </c>
      <c r="D679" s="215">
        <v>6</v>
      </c>
      <c r="E679" s="215"/>
      <c r="F679" s="216">
        <f t="shared" si="19"/>
        <v>100</v>
      </c>
      <c r="G679" s="216">
        <f t="shared" si="20"/>
        <v>100</v>
      </c>
    </row>
    <row r="680" spans="1:7" ht="15">
      <c r="A680" s="221" t="s">
        <v>800</v>
      </c>
      <c r="B680" s="215"/>
      <c r="C680" s="215">
        <v>25</v>
      </c>
      <c r="D680" s="215">
        <v>25</v>
      </c>
      <c r="E680" s="215"/>
      <c r="F680" s="216"/>
      <c r="G680" s="216"/>
    </row>
    <row r="681" spans="1:7" ht="15">
      <c r="A681" s="221" t="s">
        <v>801</v>
      </c>
      <c r="B681" s="215">
        <v>1054</v>
      </c>
      <c r="C681" s="215">
        <v>1378</v>
      </c>
      <c r="D681" s="215">
        <v>1378</v>
      </c>
      <c r="E681" s="215"/>
      <c r="F681" s="216">
        <f t="shared" si="19"/>
        <v>130.74003795066415</v>
      </c>
      <c r="G681" s="216">
        <f t="shared" si="20"/>
        <v>100</v>
      </c>
    </row>
    <row r="682" spans="1:7" ht="15">
      <c r="A682" s="221" t="s">
        <v>802</v>
      </c>
      <c r="B682" s="215">
        <v>200</v>
      </c>
      <c r="C682" s="215">
        <v>200</v>
      </c>
      <c r="D682" s="215">
        <v>200</v>
      </c>
      <c r="E682" s="215"/>
      <c r="F682" s="216">
        <f t="shared" si="19"/>
        <v>100</v>
      </c>
      <c r="G682" s="216">
        <f t="shared" si="20"/>
        <v>100</v>
      </c>
    </row>
    <row r="683" spans="1:7" ht="15">
      <c r="A683" s="221" t="s">
        <v>803</v>
      </c>
      <c r="B683" s="215">
        <v>110</v>
      </c>
      <c r="C683" s="215">
        <v>110</v>
      </c>
      <c r="D683" s="215">
        <v>110</v>
      </c>
      <c r="E683" s="215"/>
      <c r="F683" s="216">
        <f t="shared" si="19"/>
        <v>100</v>
      </c>
      <c r="G683" s="216">
        <f t="shared" si="20"/>
        <v>100</v>
      </c>
    </row>
    <row r="684" spans="1:7" ht="15">
      <c r="A684" s="221" t="s">
        <v>804</v>
      </c>
      <c r="B684" s="215">
        <v>190</v>
      </c>
      <c r="C684" s="215">
        <v>190</v>
      </c>
      <c r="D684" s="215">
        <v>190</v>
      </c>
      <c r="E684" s="215"/>
      <c r="F684" s="216">
        <f t="shared" si="19"/>
        <v>100</v>
      </c>
      <c r="G684" s="216">
        <f t="shared" si="20"/>
        <v>100</v>
      </c>
    </row>
    <row r="685" spans="1:7" ht="15">
      <c r="A685" s="221" t="s">
        <v>805</v>
      </c>
      <c r="B685" s="215">
        <f>SUM(B686)</f>
        <v>3548</v>
      </c>
      <c r="C685" s="215">
        <f>SUM(C686)</f>
        <v>4844</v>
      </c>
      <c r="D685" s="215">
        <f>SUM(D686)</f>
        <v>4844</v>
      </c>
      <c r="E685" s="215">
        <f>SUM(E686)</f>
        <v>0</v>
      </c>
      <c r="F685" s="216">
        <f t="shared" si="19"/>
        <v>136.52762119503944</v>
      </c>
      <c r="G685" s="216">
        <f t="shared" si="20"/>
        <v>100</v>
      </c>
    </row>
    <row r="686" spans="1:7" ht="15">
      <c r="A686" s="221" t="s">
        <v>806</v>
      </c>
      <c r="B686" s="215">
        <v>3548</v>
      </c>
      <c r="C686" s="215">
        <v>4844</v>
      </c>
      <c r="D686" s="215">
        <v>4844</v>
      </c>
      <c r="E686" s="215"/>
      <c r="F686" s="216">
        <f t="shared" si="19"/>
        <v>136.52762119503944</v>
      </c>
      <c r="G686" s="216">
        <f t="shared" si="20"/>
        <v>100</v>
      </c>
    </row>
    <row r="687" spans="1:7" ht="15">
      <c r="A687" s="221" t="s">
        <v>807</v>
      </c>
      <c r="B687" s="215">
        <f>SUM(B688)</f>
        <v>4</v>
      </c>
      <c r="C687" s="215">
        <f>SUM(C688)</f>
        <v>0</v>
      </c>
      <c r="D687" s="215">
        <f>SUM(D688)</f>
        <v>0</v>
      </c>
      <c r="E687" s="215">
        <f>SUM(E688)</f>
        <v>0</v>
      </c>
      <c r="F687" s="216">
        <f t="shared" si="19"/>
        <v>0</v>
      </c>
      <c r="G687" s="216">
        <f t="shared" si="20"/>
        <v>0</v>
      </c>
    </row>
    <row r="688" spans="1:7" ht="15">
      <c r="A688" s="221" t="s">
        <v>808</v>
      </c>
      <c r="B688" s="215">
        <v>4</v>
      </c>
      <c r="C688" s="215"/>
      <c r="D688" s="215"/>
      <c r="E688" s="215"/>
      <c r="F688" s="216">
        <f t="shared" si="19"/>
        <v>0</v>
      </c>
      <c r="G688" s="216">
        <f t="shared" si="20"/>
        <v>0</v>
      </c>
    </row>
    <row r="689" spans="1:7" ht="15">
      <c r="A689" s="221" t="s">
        <v>809</v>
      </c>
      <c r="B689" s="215">
        <f>SUM(B690)</f>
        <v>10</v>
      </c>
      <c r="C689" s="215">
        <f>SUM(C690)</f>
        <v>10</v>
      </c>
      <c r="D689" s="215">
        <f>SUM(D690)</f>
        <v>10</v>
      </c>
      <c r="E689" s="215">
        <f>SUM(E690)</f>
        <v>0</v>
      </c>
      <c r="F689" s="216">
        <f t="shared" si="19"/>
        <v>100</v>
      </c>
      <c r="G689" s="216">
        <f t="shared" si="20"/>
        <v>100</v>
      </c>
    </row>
    <row r="690" spans="1:7" ht="15">
      <c r="A690" s="221" t="s">
        <v>810</v>
      </c>
      <c r="B690" s="215">
        <v>10</v>
      </c>
      <c r="C690" s="215">
        <v>10</v>
      </c>
      <c r="D690" s="215">
        <v>10</v>
      </c>
      <c r="E690" s="215"/>
      <c r="F690" s="216">
        <f t="shared" si="19"/>
        <v>100</v>
      </c>
      <c r="G690" s="216">
        <f t="shared" si="20"/>
        <v>100</v>
      </c>
    </row>
    <row r="691" spans="1:7" ht="15">
      <c r="A691" s="221" t="s">
        <v>99</v>
      </c>
      <c r="B691" s="215">
        <f>SUM(B692)</f>
        <v>698</v>
      </c>
      <c r="C691" s="215">
        <f>SUM(C692)</f>
        <v>666</v>
      </c>
      <c r="D691" s="215">
        <f>SUM(D692)</f>
        <v>666</v>
      </c>
      <c r="E691" s="215">
        <f>SUM(E692)</f>
        <v>575</v>
      </c>
      <c r="F691" s="216">
        <f t="shared" si="19"/>
        <v>95.41547277936962</v>
      </c>
      <c r="G691" s="216">
        <f t="shared" si="20"/>
        <v>100</v>
      </c>
    </row>
    <row r="692" spans="1:7" ht="15">
      <c r="A692" s="221" t="s">
        <v>811</v>
      </c>
      <c r="B692" s="215">
        <f>SUM(B693:B694)</f>
        <v>698</v>
      </c>
      <c r="C692" s="215">
        <f>SUM(C693:C694)</f>
        <v>666</v>
      </c>
      <c r="D692" s="215">
        <f>SUM(D693:D694)</f>
        <v>666</v>
      </c>
      <c r="E692" s="215">
        <f>SUM(E693:E694)</f>
        <v>575</v>
      </c>
      <c r="F692" s="216">
        <f t="shared" si="19"/>
        <v>95.41547277936962</v>
      </c>
      <c r="G692" s="216">
        <f t="shared" si="20"/>
        <v>100</v>
      </c>
    </row>
    <row r="693" spans="1:7" ht="15">
      <c r="A693" s="221" t="s">
        <v>812</v>
      </c>
      <c r="B693" s="215">
        <v>383</v>
      </c>
      <c r="C693" s="215">
        <v>388</v>
      </c>
      <c r="D693" s="215">
        <v>388</v>
      </c>
      <c r="E693" s="215">
        <v>284</v>
      </c>
      <c r="F693" s="216">
        <f t="shared" si="19"/>
        <v>101.30548302872062</v>
      </c>
      <c r="G693" s="216">
        <f t="shared" si="20"/>
        <v>100</v>
      </c>
    </row>
    <row r="694" spans="1:7" ht="15">
      <c r="A694" s="221" t="s">
        <v>813</v>
      </c>
      <c r="B694" s="215">
        <v>315</v>
      </c>
      <c r="C694" s="215">
        <v>278</v>
      </c>
      <c r="D694" s="215">
        <v>278</v>
      </c>
      <c r="E694" s="215">
        <v>291</v>
      </c>
      <c r="F694" s="216">
        <f t="shared" si="19"/>
        <v>88.25396825396825</v>
      </c>
      <c r="G694" s="216">
        <f t="shared" si="20"/>
        <v>100</v>
      </c>
    </row>
    <row r="695" spans="1:7" ht="15">
      <c r="A695" s="221" t="s">
        <v>102</v>
      </c>
      <c r="B695" s="215">
        <f>SUM(B696,B697)</f>
        <v>4910</v>
      </c>
      <c r="C695" s="215">
        <f>SUM(C696,C697)</f>
        <v>1681</v>
      </c>
      <c r="D695" s="215">
        <f>SUM(D696,D697)</f>
        <v>478</v>
      </c>
      <c r="E695" s="215">
        <f>SUM(E696,E697)</f>
        <v>5767</v>
      </c>
      <c r="F695" s="216">
        <f t="shared" si="19"/>
        <v>9.735234215885948</v>
      </c>
      <c r="G695" s="216">
        <f t="shared" si="20"/>
        <v>28.435455086258184</v>
      </c>
    </row>
    <row r="696" spans="1:7" ht="15">
      <c r="A696" s="221" t="s">
        <v>814</v>
      </c>
      <c r="B696" s="215">
        <v>200</v>
      </c>
      <c r="C696" s="215"/>
      <c r="D696" s="215"/>
      <c r="E696" s="215"/>
      <c r="F696" s="216">
        <f>IF(B696=0,0,D696/B696*100)</f>
        <v>0</v>
      </c>
      <c r="G696" s="216">
        <f>IF(D696=0,0,D696/C696*100)</f>
        <v>0</v>
      </c>
    </row>
    <row r="697" spans="1:7" ht="15">
      <c r="A697" s="221" t="s">
        <v>815</v>
      </c>
      <c r="B697" s="215">
        <f>SUM(B698)</f>
        <v>4710</v>
      </c>
      <c r="C697" s="215">
        <f>SUM(C698)</f>
        <v>1681</v>
      </c>
      <c r="D697" s="215">
        <f>SUM(D698)</f>
        <v>478</v>
      </c>
      <c r="E697" s="215">
        <f>SUM(E698)</f>
        <v>5767</v>
      </c>
      <c r="F697" s="216">
        <f aca="true" t="shared" si="24" ref="F697:F712">IF(B697=0,0,D697/B697*100)</f>
        <v>10.148619957537155</v>
      </c>
      <c r="G697" s="216">
        <f aca="true" t="shared" si="25" ref="G697:G712">IF(D697=0,0,D697/C697*100)</f>
        <v>28.435455086258184</v>
      </c>
    </row>
    <row r="698" spans="1:7" ht="15">
      <c r="A698" s="221" t="s">
        <v>816</v>
      </c>
      <c r="B698" s="215">
        <v>4710</v>
      </c>
      <c r="C698" s="257">
        <f>1676+5</f>
        <v>1681</v>
      </c>
      <c r="D698" s="215">
        <f>473+5</f>
        <v>478</v>
      </c>
      <c r="E698" s="215">
        <f>38+5729</f>
        <v>5767</v>
      </c>
      <c r="F698" s="216">
        <f t="shared" si="24"/>
        <v>10.148619957537155</v>
      </c>
      <c r="G698" s="216">
        <f t="shared" si="25"/>
        <v>28.435455086258184</v>
      </c>
    </row>
    <row r="699" spans="1:7" ht="15">
      <c r="A699" s="221" t="s">
        <v>104</v>
      </c>
      <c r="B699" s="215">
        <f aca="true" t="shared" si="26" ref="B699:E700">SUM(B700)</f>
        <v>14323</v>
      </c>
      <c r="C699" s="215">
        <f t="shared" si="26"/>
        <v>14340</v>
      </c>
      <c r="D699" s="215">
        <f t="shared" si="26"/>
        <v>14340</v>
      </c>
      <c r="E699" s="215">
        <f t="shared" si="26"/>
        <v>13167</v>
      </c>
      <c r="F699" s="216">
        <f t="shared" si="24"/>
        <v>100.11869021852964</v>
      </c>
      <c r="G699" s="216">
        <f t="shared" si="25"/>
        <v>100</v>
      </c>
    </row>
    <row r="700" spans="1:7" ht="15">
      <c r="A700" s="221" t="s">
        <v>817</v>
      </c>
      <c r="B700" s="215">
        <f t="shared" si="26"/>
        <v>14323</v>
      </c>
      <c r="C700" s="215">
        <f t="shared" si="26"/>
        <v>14340</v>
      </c>
      <c r="D700" s="215">
        <f t="shared" si="26"/>
        <v>14340</v>
      </c>
      <c r="E700" s="215">
        <f t="shared" si="26"/>
        <v>13167</v>
      </c>
      <c r="F700" s="216">
        <f t="shared" si="24"/>
        <v>100.11869021852964</v>
      </c>
      <c r="G700" s="216">
        <f t="shared" si="25"/>
        <v>100</v>
      </c>
    </row>
    <row r="701" spans="1:7" ht="15">
      <c r="A701" s="221" t="s">
        <v>818</v>
      </c>
      <c r="B701" s="215">
        <v>14323</v>
      </c>
      <c r="C701" s="215">
        <v>14340</v>
      </c>
      <c r="D701" s="215">
        <v>14340</v>
      </c>
      <c r="E701" s="215">
        <v>13167</v>
      </c>
      <c r="F701" s="216">
        <f t="shared" si="24"/>
        <v>100.11869021852964</v>
      </c>
      <c r="G701" s="216">
        <f t="shared" si="25"/>
        <v>100</v>
      </c>
    </row>
    <row r="702" spans="1:7" ht="15">
      <c r="A702" s="221" t="s">
        <v>105</v>
      </c>
      <c r="B702" s="215">
        <f>SUM(B703)</f>
        <v>1</v>
      </c>
      <c r="C702" s="215">
        <f>SUM(C703)</f>
        <v>35</v>
      </c>
      <c r="D702" s="215">
        <f>SUM(D703)</f>
        <v>35</v>
      </c>
      <c r="E702" s="215">
        <f>SUM(E703)</f>
        <v>25</v>
      </c>
      <c r="F702" s="216">
        <f t="shared" si="24"/>
        <v>3500</v>
      </c>
      <c r="G702" s="216">
        <f t="shared" si="25"/>
        <v>100</v>
      </c>
    </row>
    <row r="703" spans="1:7" ht="15">
      <c r="A703" s="221" t="s">
        <v>819</v>
      </c>
      <c r="B703" s="215">
        <v>1</v>
      </c>
      <c r="C703" s="215">
        <v>35</v>
      </c>
      <c r="D703" s="215">
        <v>35</v>
      </c>
      <c r="E703" s="215">
        <v>25</v>
      </c>
      <c r="F703" s="216">
        <f t="shared" si="24"/>
        <v>3500</v>
      </c>
      <c r="G703" s="216">
        <f t="shared" si="25"/>
        <v>100</v>
      </c>
    </row>
    <row r="704" spans="1:7" ht="15">
      <c r="A704" s="246" t="s">
        <v>820</v>
      </c>
      <c r="B704" s="215">
        <f>SUM(B705,B706)</f>
        <v>14800</v>
      </c>
      <c r="C704" s="215">
        <f>SUM(C705,C706)</f>
        <v>14800</v>
      </c>
      <c r="D704" s="215">
        <f>SUM(D705,D706)</f>
        <v>0</v>
      </c>
      <c r="E704" s="215">
        <f>SUM(E705,E706)</f>
        <v>0</v>
      </c>
      <c r="F704" s="216">
        <f t="shared" si="24"/>
        <v>0</v>
      </c>
      <c r="G704" s="216">
        <f t="shared" si="25"/>
        <v>0</v>
      </c>
    </row>
    <row r="705" spans="1:7" ht="15">
      <c r="A705" s="221" t="s">
        <v>101</v>
      </c>
      <c r="B705" s="215">
        <v>11800</v>
      </c>
      <c r="C705" s="215">
        <v>11800</v>
      </c>
      <c r="D705" s="215"/>
      <c r="E705" s="215"/>
      <c r="F705" s="216">
        <f t="shared" si="24"/>
        <v>0</v>
      </c>
      <c r="G705" s="216">
        <f t="shared" si="25"/>
        <v>0</v>
      </c>
    </row>
    <row r="706" spans="1:7" ht="15">
      <c r="A706" s="221" t="s">
        <v>102</v>
      </c>
      <c r="B706" s="215">
        <f aca="true" t="shared" si="27" ref="B706:E707">SUM(B707)</f>
        <v>3000</v>
      </c>
      <c r="C706" s="215">
        <f t="shared" si="27"/>
        <v>3000</v>
      </c>
      <c r="D706" s="215">
        <f t="shared" si="27"/>
        <v>0</v>
      </c>
      <c r="E706" s="215">
        <f t="shared" si="27"/>
        <v>0</v>
      </c>
      <c r="F706" s="216">
        <f t="shared" si="24"/>
        <v>0</v>
      </c>
      <c r="G706" s="216">
        <f t="shared" si="25"/>
        <v>0</v>
      </c>
    </row>
    <row r="707" spans="1:7" ht="15">
      <c r="A707" s="221" t="s">
        <v>815</v>
      </c>
      <c r="B707" s="215">
        <f t="shared" si="27"/>
        <v>3000</v>
      </c>
      <c r="C707" s="215">
        <f t="shared" si="27"/>
        <v>3000</v>
      </c>
      <c r="D707" s="215">
        <f t="shared" si="27"/>
        <v>0</v>
      </c>
      <c r="E707" s="215">
        <f t="shared" si="27"/>
        <v>0</v>
      </c>
      <c r="F707" s="216">
        <f t="shared" si="24"/>
        <v>0</v>
      </c>
      <c r="G707" s="216">
        <f t="shared" si="25"/>
        <v>0</v>
      </c>
    </row>
    <row r="708" spans="1:7" ht="15">
      <c r="A708" s="221" t="s">
        <v>816</v>
      </c>
      <c r="B708" s="215">
        <v>3000</v>
      </c>
      <c r="C708" s="215">
        <v>3000</v>
      </c>
      <c r="D708" s="215"/>
      <c r="E708" s="215"/>
      <c r="F708" s="216">
        <f t="shared" si="24"/>
        <v>0</v>
      </c>
      <c r="G708" s="216">
        <f t="shared" si="25"/>
        <v>0</v>
      </c>
    </row>
    <row r="709" spans="1:7" ht="15">
      <c r="A709" s="258" t="s">
        <v>150</v>
      </c>
      <c r="B709" s="215">
        <f>SUM(B710)</f>
        <v>20470</v>
      </c>
      <c r="C709" s="215">
        <f aca="true" t="shared" si="28" ref="C709:E711">SUM(C710)</f>
        <v>20470</v>
      </c>
      <c r="D709" s="215">
        <f t="shared" si="28"/>
        <v>20470</v>
      </c>
      <c r="E709" s="215">
        <f t="shared" si="28"/>
        <v>800</v>
      </c>
      <c r="F709" s="216">
        <f t="shared" si="24"/>
        <v>100</v>
      </c>
      <c r="G709" s="216">
        <f t="shared" si="25"/>
        <v>100</v>
      </c>
    </row>
    <row r="710" spans="1:7" ht="15">
      <c r="A710" s="221" t="s">
        <v>821</v>
      </c>
      <c r="B710" s="215">
        <f>SUM(B711)</f>
        <v>20470</v>
      </c>
      <c r="C710" s="215">
        <f t="shared" si="28"/>
        <v>20470</v>
      </c>
      <c r="D710" s="215">
        <f t="shared" si="28"/>
        <v>20470</v>
      </c>
      <c r="E710" s="215">
        <f t="shared" si="28"/>
        <v>800</v>
      </c>
      <c r="F710" s="216">
        <f t="shared" si="24"/>
        <v>100</v>
      </c>
      <c r="G710" s="216">
        <f t="shared" si="25"/>
        <v>100</v>
      </c>
    </row>
    <row r="711" spans="1:7" ht="15">
      <c r="A711" s="221" t="s">
        <v>822</v>
      </c>
      <c r="B711" s="215">
        <f>SUM(B712)</f>
        <v>20470</v>
      </c>
      <c r="C711" s="215">
        <f t="shared" si="28"/>
        <v>20470</v>
      </c>
      <c r="D711" s="215">
        <f t="shared" si="28"/>
        <v>20470</v>
      </c>
      <c r="E711" s="215">
        <f t="shared" si="28"/>
        <v>800</v>
      </c>
      <c r="F711" s="216">
        <f t="shared" si="24"/>
        <v>100</v>
      </c>
      <c r="G711" s="216">
        <f t="shared" si="25"/>
        <v>100</v>
      </c>
    </row>
    <row r="712" spans="1:7" ht="15">
      <c r="A712" s="221" t="s">
        <v>823</v>
      </c>
      <c r="B712" s="215">
        <v>20470</v>
      </c>
      <c r="C712" s="215">
        <v>20470</v>
      </c>
      <c r="D712" s="215">
        <v>20470</v>
      </c>
      <c r="E712" s="215">
        <v>800</v>
      </c>
      <c r="F712" s="216">
        <f t="shared" si="24"/>
        <v>100</v>
      </c>
      <c r="G712" s="216">
        <f t="shared" si="25"/>
        <v>100</v>
      </c>
    </row>
  </sheetData>
  <sheetProtection/>
  <autoFilter ref="A5:G712"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IE129"/>
  <sheetViews>
    <sheetView workbookViewId="0" topLeftCell="A1">
      <selection activeCell="G5" sqref="A5:IV5"/>
    </sheetView>
  </sheetViews>
  <sheetFormatPr defaultColWidth="9.00390625" defaultRowHeight="14.25"/>
  <cols>
    <col min="1" max="1" width="58.25390625" style="205" bestFit="1" customWidth="1"/>
    <col min="2" max="3" width="10.75390625" style="206" bestFit="1" customWidth="1"/>
    <col min="4" max="4" width="12.625" style="206" bestFit="1" customWidth="1"/>
    <col min="5" max="6" width="11.00390625" style="207" customWidth="1"/>
    <col min="7" max="16384" width="9.00390625" style="205" customWidth="1"/>
  </cols>
  <sheetData>
    <row r="1" ht="12.75">
      <c r="A1" s="208" t="s">
        <v>824</v>
      </c>
    </row>
    <row r="2" spans="1:6" ht="20.25">
      <c r="A2" s="368" t="s">
        <v>825</v>
      </c>
      <c r="B2" s="368"/>
      <c r="C2" s="368"/>
      <c r="D2" s="368"/>
      <c r="E2" s="368"/>
      <c r="F2" s="368"/>
    </row>
    <row r="3" spans="1:6" ht="14.25">
      <c r="A3" s="209"/>
      <c r="B3" s="210"/>
      <c r="C3" s="210"/>
      <c r="D3" s="210"/>
      <c r="E3" s="211"/>
      <c r="F3" s="212" t="s">
        <v>6</v>
      </c>
    </row>
    <row r="4" spans="1:239" ht="19.5" customHeight="1">
      <c r="A4" s="374" t="s">
        <v>74</v>
      </c>
      <c r="B4" s="371" t="s">
        <v>8</v>
      </c>
      <c r="C4" s="376" t="s">
        <v>9</v>
      </c>
      <c r="D4" s="377" t="s">
        <v>118</v>
      </c>
      <c r="E4" s="373" t="s">
        <v>154</v>
      </c>
      <c r="F4" s="373" t="s">
        <v>155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</row>
    <row r="5" spans="1:239" ht="19.5" customHeight="1">
      <c r="A5" s="375"/>
      <c r="B5" s="372"/>
      <c r="C5" s="376"/>
      <c r="D5" s="378"/>
      <c r="E5" s="373"/>
      <c r="F5" s="37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  <c r="EZ5" s="213"/>
      <c r="FA5" s="213"/>
      <c r="FB5" s="213"/>
      <c r="FC5" s="213"/>
      <c r="FD5" s="213"/>
      <c r="FE5" s="213"/>
      <c r="FF5" s="213"/>
      <c r="FG5" s="213"/>
      <c r="FH5" s="213"/>
      <c r="FI5" s="213"/>
      <c r="FJ5" s="213"/>
      <c r="FK5" s="213"/>
      <c r="FL5" s="213"/>
      <c r="FM5" s="213"/>
      <c r="FN5" s="213"/>
      <c r="FO5" s="213"/>
      <c r="FP5" s="213"/>
      <c r="FQ5" s="213"/>
      <c r="FR5" s="213"/>
      <c r="FS5" s="213"/>
      <c r="FT5" s="213"/>
      <c r="FU5" s="213"/>
      <c r="FV5" s="213"/>
      <c r="FW5" s="213"/>
      <c r="FX5" s="213"/>
      <c r="FY5" s="213"/>
      <c r="FZ5" s="213"/>
      <c r="GA5" s="213"/>
      <c r="GB5" s="213"/>
      <c r="GC5" s="213"/>
      <c r="GD5" s="213"/>
      <c r="GE5" s="213"/>
      <c r="GF5" s="213"/>
      <c r="GG5" s="213"/>
      <c r="GH5" s="213"/>
      <c r="GI5" s="213"/>
      <c r="GJ5" s="213"/>
      <c r="GK5" s="213"/>
      <c r="GL5" s="213"/>
      <c r="GM5" s="213"/>
      <c r="GN5" s="213"/>
      <c r="GO5" s="213"/>
      <c r="GP5" s="213"/>
      <c r="GQ5" s="213"/>
      <c r="GR5" s="213"/>
      <c r="GS5" s="213"/>
      <c r="GT5" s="213"/>
      <c r="GU5" s="213"/>
      <c r="GV5" s="213"/>
      <c r="GW5" s="213"/>
      <c r="GX5" s="213"/>
      <c r="GY5" s="213"/>
      <c r="GZ5" s="213"/>
      <c r="HA5" s="213"/>
      <c r="HB5" s="213"/>
      <c r="HC5" s="213"/>
      <c r="HD5" s="213"/>
      <c r="HE5" s="213"/>
      <c r="HF5" s="213"/>
      <c r="HG5" s="213"/>
      <c r="HH5" s="213"/>
      <c r="HI5" s="213"/>
      <c r="HJ5" s="213"/>
      <c r="HK5" s="213"/>
      <c r="HL5" s="213"/>
      <c r="HM5" s="213"/>
      <c r="HN5" s="213"/>
      <c r="HO5" s="213"/>
      <c r="HP5" s="213"/>
      <c r="HQ5" s="213"/>
      <c r="HR5" s="213"/>
      <c r="HS5" s="213"/>
      <c r="HT5" s="213"/>
      <c r="HU5" s="213"/>
      <c r="HV5" s="213"/>
      <c r="HW5" s="213"/>
      <c r="HX5" s="213"/>
      <c r="HY5" s="213"/>
      <c r="HZ5" s="213"/>
      <c r="IA5" s="213"/>
      <c r="IB5" s="213"/>
      <c r="IC5" s="213"/>
      <c r="ID5" s="213"/>
      <c r="IE5" s="213"/>
    </row>
    <row r="6" spans="1:239" ht="19.5" customHeight="1">
      <c r="A6" s="214" t="s">
        <v>122</v>
      </c>
      <c r="B6" s="215">
        <f>B7</f>
        <v>195106</v>
      </c>
      <c r="C6" s="215">
        <f>C7</f>
        <v>193375.852006</v>
      </c>
      <c r="D6" s="215">
        <f>D7</f>
        <v>193375.852006</v>
      </c>
      <c r="E6" s="216">
        <f>IF(B6=0,0,D6/B6*100)</f>
        <v>99.11322665935441</v>
      </c>
      <c r="F6" s="216">
        <f>D6/C6*100</f>
        <v>100</v>
      </c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7"/>
      <c r="DK6" s="217"/>
      <c r="DL6" s="217"/>
      <c r="DM6" s="217"/>
      <c r="DN6" s="217"/>
      <c r="DO6" s="217"/>
      <c r="DP6" s="217"/>
      <c r="DQ6" s="217"/>
      <c r="DR6" s="217"/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7"/>
      <c r="ED6" s="217"/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7"/>
      <c r="ES6" s="217"/>
      <c r="ET6" s="217"/>
      <c r="EU6" s="217"/>
      <c r="EV6" s="217"/>
      <c r="EW6" s="217"/>
      <c r="EX6" s="217"/>
      <c r="EY6" s="217"/>
      <c r="EZ6" s="217"/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7"/>
      <c r="FL6" s="217"/>
      <c r="FM6" s="217"/>
      <c r="FN6" s="217"/>
      <c r="FO6" s="217"/>
      <c r="FP6" s="217"/>
      <c r="FQ6" s="217"/>
      <c r="FR6" s="217"/>
      <c r="FS6" s="217"/>
      <c r="FT6" s="217"/>
      <c r="FU6" s="217"/>
      <c r="FV6" s="217"/>
      <c r="FW6" s="217"/>
      <c r="FX6" s="217"/>
      <c r="FY6" s="217"/>
      <c r="FZ6" s="217"/>
      <c r="GA6" s="217"/>
      <c r="GB6" s="217"/>
      <c r="GC6" s="217"/>
      <c r="GD6" s="217"/>
      <c r="GE6" s="217"/>
      <c r="GF6" s="217"/>
      <c r="GG6" s="217"/>
      <c r="GH6" s="217"/>
      <c r="GI6" s="217"/>
      <c r="GJ6" s="217"/>
      <c r="GK6" s="217"/>
      <c r="GL6" s="217"/>
      <c r="GM6" s="217"/>
      <c r="GN6" s="217"/>
      <c r="GO6" s="217"/>
      <c r="GP6" s="217"/>
      <c r="GQ6" s="217"/>
      <c r="GR6" s="217"/>
      <c r="GS6" s="217"/>
      <c r="GT6" s="217"/>
      <c r="GU6" s="217"/>
      <c r="GV6" s="217"/>
      <c r="GW6" s="217"/>
      <c r="GX6" s="217"/>
      <c r="GY6" s="217"/>
      <c r="GZ6" s="217"/>
      <c r="HA6" s="217"/>
      <c r="HB6" s="217"/>
      <c r="HC6" s="217"/>
      <c r="HD6" s="217"/>
      <c r="HE6" s="217"/>
      <c r="HF6" s="217"/>
      <c r="HG6" s="217"/>
      <c r="HH6" s="217"/>
      <c r="HI6" s="217"/>
      <c r="HJ6" s="217"/>
      <c r="HK6" s="217"/>
      <c r="HL6" s="217"/>
      <c r="HM6" s="217"/>
      <c r="HN6" s="217"/>
      <c r="HO6" s="217"/>
      <c r="HP6" s="217"/>
      <c r="HQ6" s="217"/>
      <c r="HR6" s="217"/>
      <c r="HS6" s="217"/>
      <c r="HT6" s="217"/>
      <c r="HU6" s="217"/>
      <c r="HV6" s="217"/>
      <c r="HW6" s="217"/>
      <c r="HX6" s="217"/>
      <c r="HY6" s="217"/>
      <c r="HZ6" s="217"/>
      <c r="IA6" s="217"/>
      <c r="IB6" s="217"/>
      <c r="IC6" s="217"/>
      <c r="ID6" s="217"/>
      <c r="IE6" s="217"/>
    </row>
    <row r="7" spans="1:239" ht="19.5" customHeight="1">
      <c r="A7" s="218" t="s">
        <v>826</v>
      </c>
      <c r="B7" s="219">
        <f>SUM(B8)</f>
        <v>195106</v>
      </c>
      <c r="C7" s="219">
        <f>SUM(C8)</f>
        <v>193375.852006</v>
      </c>
      <c r="D7" s="219">
        <f>SUM(D8)</f>
        <v>193375.852006</v>
      </c>
      <c r="E7" s="220">
        <f>IF(B7=0,0,D7/B7*100)</f>
        <v>99.11322665935441</v>
      </c>
      <c r="F7" s="220">
        <f>D7/C7*100</f>
        <v>100</v>
      </c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</row>
    <row r="8" spans="1:239" ht="15" customHeight="1">
      <c r="A8" s="221" t="s">
        <v>122</v>
      </c>
      <c r="B8" s="222">
        <f>SUM(B9,B23,B29,B19,B33,B64,B81,B87,B98,B107,B116,B121,B124,B127)</f>
        <v>195106</v>
      </c>
      <c r="C8" s="222">
        <f>SUM(C9,C23,C29,C19,C33,C64,C81,C87,C98,C107,C116,C121,C124,C127)</f>
        <v>193375.852006</v>
      </c>
      <c r="D8" s="222">
        <f>SUM(D9,D23,D29,D19,D33,D64,D81,D87,D98,D107,D116,D121,D124,D127)</f>
        <v>193375.852006</v>
      </c>
      <c r="E8" s="222">
        <f>IF(B8=0,0,D8/B8*100)</f>
        <v>99.11322665935441</v>
      </c>
      <c r="F8" s="223">
        <f>D8/C8*100</f>
        <v>100</v>
      </c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FC8" s="217"/>
      <c r="FD8" s="217"/>
      <c r="FE8" s="217"/>
      <c r="FF8" s="217"/>
      <c r="FG8" s="217"/>
      <c r="FH8" s="217"/>
      <c r="FI8" s="217"/>
      <c r="FJ8" s="217"/>
      <c r="FK8" s="217"/>
      <c r="FL8" s="217"/>
      <c r="FM8" s="217"/>
      <c r="FN8" s="217"/>
      <c r="FO8" s="217"/>
      <c r="FP8" s="217"/>
      <c r="FQ8" s="217"/>
      <c r="FR8" s="217"/>
      <c r="FS8" s="217"/>
      <c r="FT8" s="217"/>
      <c r="FU8" s="217"/>
      <c r="FV8" s="217"/>
      <c r="FW8" s="217"/>
      <c r="FX8" s="217"/>
      <c r="FY8" s="217"/>
      <c r="FZ8" s="217"/>
      <c r="GA8" s="217"/>
      <c r="GB8" s="217"/>
      <c r="GC8" s="217"/>
      <c r="GD8" s="217"/>
      <c r="GE8" s="217"/>
      <c r="GF8" s="217"/>
      <c r="GG8" s="217"/>
      <c r="GH8" s="217"/>
      <c r="GI8" s="217"/>
      <c r="GJ8" s="217"/>
      <c r="GK8" s="217"/>
      <c r="GL8" s="217"/>
      <c r="GM8" s="217"/>
      <c r="GN8" s="217"/>
      <c r="GO8" s="217"/>
      <c r="GP8" s="217"/>
      <c r="GQ8" s="217"/>
      <c r="GR8" s="217"/>
      <c r="GS8" s="217"/>
      <c r="GT8" s="217"/>
      <c r="GU8" s="217"/>
      <c r="GV8" s="217"/>
      <c r="GW8" s="217"/>
      <c r="GX8" s="217"/>
      <c r="GY8" s="217"/>
      <c r="GZ8" s="217"/>
      <c r="HA8" s="217"/>
      <c r="HB8" s="217"/>
      <c r="HC8" s="217"/>
      <c r="HD8" s="217"/>
      <c r="HE8" s="217"/>
      <c r="HF8" s="217"/>
      <c r="HG8" s="217"/>
      <c r="HH8" s="217"/>
      <c r="HI8" s="217"/>
      <c r="HJ8" s="217"/>
      <c r="HK8" s="217"/>
      <c r="HL8" s="217"/>
      <c r="HM8" s="217"/>
      <c r="HN8" s="217"/>
      <c r="HO8" s="217"/>
      <c r="HP8" s="217"/>
      <c r="HQ8" s="217"/>
      <c r="HR8" s="217"/>
      <c r="HS8" s="217"/>
      <c r="HT8" s="217"/>
      <c r="HU8" s="217"/>
      <c r="HV8" s="217"/>
      <c r="HW8" s="217"/>
      <c r="HX8" s="217"/>
      <c r="HY8" s="217"/>
      <c r="HZ8" s="217"/>
      <c r="IA8" s="217"/>
      <c r="IB8" s="217"/>
      <c r="IC8" s="217"/>
      <c r="ID8" s="217"/>
      <c r="IE8" s="217"/>
    </row>
    <row r="9" spans="1:239" ht="15" customHeight="1">
      <c r="A9" s="224" t="s">
        <v>827</v>
      </c>
      <c r="B9" s="222">
        <f>SUM(B10,B12,B15)</f>
        <v>8</v>
      </c>
      <c r="C9" s="222">
        <f>SUM(C10,C12,C15)</f>
        <v>987</v>
      </c>
      <c r="D9" s="222">
        <f>SUM(D10,D12,D15)</f>
        <v>987</v>
      </c>
      <c r="E9" s="222">
        <f>IF(B9=0,0,D9/B9*100)</f>
        <v>12337.5</v>
      </c>
      <c r="F9" s="223">
        <f>D9/C9*100</f>
        <v>100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FC9" s="217"/>
      <c r="FD9" s="217"/>
      <c r="FE9" s="217"/>
      <c r="FF9" s="217"/>
      <c r="FG9" s="217"/>
      <c r="FH9" s="217"/>
      <c r="FI9" s="217"/>
      <c r="FJ9" s="217"/>
      <c r="FK9" s="217"/>
      <c r="FL9" s="217"/>
      <c r="FM9" s="217"/>
      <c r="FN9" s="217"/>
      <c r="FO9" s="217"/>
      <c r="FP9" s="217"/>
      <c r="FQ9" s="217"/>
      <c r="FR9" s="217"/>
      <c r="FS9" s="217"/>
      <c r="FT9" s="217"/>
      <c r="FU9" s="217"/>
      <c r="FV9" s="217"/>
      <c r="FW9" s="217"/>
      <c r="FX9" s="217"/>
      <c r="FY9" s="217"/>
      <c r="FZ9" s="217"/>
      <c r="GA9" s="217"/>
      <c r="GB9" s="217"/>
      <c r="GC9" s="217"/>
      <c r="GD9" s="217"/>
      <c r="GE9" s="217"/>
      <c r="GF9" s="217"/>
      <c r="GG9" s="217"/>
      <c r="GH9" s="217"/>
      <c r="GI9" s="217"/>
      <c r="GJ9" s="217"/>
      <c r="GK9" s="217"/>
      <c r="GL9" s="217"/>
      <c r="GM9" s="217"/>
      <c r="GN9" s="217"/>
      <c r="GO9" s="217"/>
      <c r="GP9" s="217"/>
      <c r="GQ9" s="217"/>
      <c r="GR9" s="217"/>
      <c r="GS9" s="217"/>
      <c r="GT9" s="217"/>
      <c r="GU9" s="217"/>
      <c r="GV9" s="217"/>
      <c r="GW9" s="217"/>
      <c r="GX9" s="217"/>
      <c r="GY9" s="217"/>
      <c r="GZ9" s="217"/>
      <c r="HA9" s="217"/>
      <c r="HB9" s="217"/>
      <c r="HC9" s="217"/>
      <c r="HD9" s="217"/>
      <c r="HE9" s="217"/>
      <c r="HF9" s="217"/>
      <c r="HG9" s="217"/>
      <c r="HH9" s="217"/>
      <c r="HI9" s="217"/>
      <c r="HJ9" s="217"/>
      <c r="HK9" s="217"/>
      <c r="HL9" s="217"/>
      <c r="HM9" s="217"/>
      <c r="HN9" s="217"/>
      <c r="HO9" s="217"/>
      <c r="HP9" s="217"/>
      <c r="HQ9" s="217"/>
      <c r="HR9" s="217"/>
      <c r="HS9" s="217"/>
      <c r="HT9" s="217"/>
      <c r="HU9" s="217"/>
      <c r="HV9" s="217"/>
      <c r="HW9" s="217"/>
      <c r="HX9" s="217"/>
      <c r="HY9" s="217"/>
      <c r="HZ9" s="217"/>
      <c r="IA9" s="217"/>
      <c r="IB9" s="217"/>
      <c r="IC9" s="217"/>
      <c r="ID9" s="217"/>
      <c r="IE9" s="217"/>
    </row>
    <row r="10" spans="1:239" ht="15" customHeight="1">
      <c r="A10" s="224" t="s">
        <v>828</v>
      </c>
      <c r="B10" s="222"/>
      <c r="C10" s="222">
        <v>2</v>
      </c>
      <c r="D10" s="222">
        <v>2</v>
      </c>
      <c r="E10" s="222">
        <f aca="true" t="shared" si="0" ref="E10:E73">SUM(E11:E13)</f>
        <v>0</v>
      </c>
      <c r="F10" s="223">
        <f aca="true" t="shared" si="1" ref="F10:F38">D10/C10*100</f>
        <v>100</v>
      </c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7"/>
      <c r="DL10" s="217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7"/>
      <c r="DZ10" s="217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7"/>
      <c r="EN10" s="217"/>
      <c r="EO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FC10" s="217"/>
      <c r="FD10" s="217"/>
      <c r="FE10" s="217"/>
      <c r="FF10" s="217"/>
      <c r="FG10" s="217"/>
      <c r="FH10" s="217"/>
      <c r="FI10" s="217"/>
      <c r="FJ10" s="217"/>
      <c r="FK10" s="217"/>
      <c r="FL10" s="217"/>
      <c r="FM10" s="217"/>
      <c r="FN10" s="217"/>
      <c r="FO10" s="217"/>
      <c r="FP10" s="217"/>
      <c r="FQ10" s="217"/>
      <c r="FR10" s="217"/>
      <c r="FS10" s="217"/>
      <c r="FT10" s="217"/>
      <c r="FU10" s="217"/>
      <c r="FV10" s="217"/>
      <c r="FW10" s="217"/>
      <c r="FX10" s="217"/>
      <c r="FY10" s="217"/>
      <c r="FZ10" s="217"/>
      <c r="GA10" s="217"/>
      <c r="GB10" s="217"/>
      <c r="GC10" s="217"/>
      <c r="GD10" s="217"/>
      <c r="GE10" s="217"/>
      <c r="GF10" s="217"/>
      <c r="GG10" s="217"/>
      <c r="GH10" s="217"/>
      <c r="GI10" s="217"/>
      <c r="GJ10" s="217"/>
      <c r="GK10" s="217"/>
      <c r="GL10" s="217"/>
      <c r="GM10" s="217"/>
      <c r="GN10" s="217"/>
      <c r="GO10" s="217"/>
      <c r="GP10" s="217"/>
      <c r="GQ10" s="217"/>
      <c r="GR10" s="217"/>
      <c r="GS10" s="217"/>
      <c r="GT10" s="217"/>
      <c r="GU10" s="217"/>
      <c r="GV10" s="217"/>
      <c r="GW10" s="217"/>
      <c r="GX10" s="217"/>
      <c r="GY10" s="217"/>
      <c r="GZ10" s="217"/>
      <c r="HA10" s="217"/>
      <c r="HB10" s="217"/>
      <c r="HC10" s="217"/>
      <c r="HD10" s="217"/>
      <c r="HE10" s="217"/>
      <c r="HF10" s="217"/>
      <c r="HG10" s="217"/>
      <c r="HH10" s="217"/>
      <c r="HI10" s="217"/>
      <c r="HJ10" s="217"/>
      <c r="HK10" s="217"/>
      <c r="HL10" s="217"/>
      <c r="HM10" s="217"/>
      <c r="HN10" s="217"/>
      <c r="HO10" s="217"/>
      <c r="HP10" s="217"/>
      <c r="HQ10" s="217"/>
      <c r="HR10" s="217"/>
      <c r="HS10" s="217"/>
      <c r="HT10" s="217"/>
      <c r="HU10" s="217"/>
      <c r="HV10" s="217"/>
      <c r="HW10" s="217"/>
      <c r="HX10" s="217"/>
      <c r="HY10" s="217"/>
      <c r="HZ10" s="217"/>
      <c r="IA10" s="217"/>
      <c r="IB10" s="217"/>
      <c r="IC10" s="217"/>
      <c r="ID10" s="217"/>
      <c r="IE10" s="217"/>
    </row>
    <row r="11" spans="1:239" ht="15" customHeight="1">
      <c r="A11" s="225" t="s">
        <v>829</v>
      </c>
      <c r="B11" s="222"/>
      <c r="C11" s="222">
        <v>2</v>
      </c>
      <c r="D11" s="222">
        <v>2</v>
      </c>
      <c r="E11" s="222">
        <f t="shared" si="0"/>
        <v>0</v>
      </c>
      <c r="F11" s="223">
        <f t="shared" si="1"/>
        <v>100</v>
      </c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  <c r="GP11" s="217"/>
      <c r="GQ11" s="217"/>
      <c r="GR11" s="217"/>
      <c r="GS11" s="217"/>
      <c r="GT11" s="217"/>
      <c r="GU11" s="217"/>
      <c r="GV11" s="217"/>
      <c r="GW11" s="217"/>
      <c r="GX11" s="217"/>
      <c r="GY11" s="217"/>
      <c r="GZ11" s="217"/>
      <c r="HA11" s="217"/>
      <c r="HB11" s="217"/>
      <c r="HC11" s="217"/>
      <c r="HD11" s="217"/>
      <c r="HE11" s="217"/>
      <c r="HF11" s="217"/>
      <c r="HG11" s="217"/>
      <c r="HH11" s="217"/>
      <c r="HI11" s="217"/>
      <c r="HJ11" s="217"/>
      <c r="HK11" s="217"/>
      <c r="HL11" s="217"/>
      <c r="HM11" s="217"/>
      <c r="HN11" s="217"/>
      <c r="HO11" s="217"/>
      <c r="HP11" s="217"/>
      <c r="HQ11" s="217"/>
      <c r="HR11" s="217"/>
      <c r="HS11" s="217"/>
      <c r="HT11" s="217"/>
      <c r="HU11" s="217"/>
      <c r="HV11" s="217"/>
      <c r="HW11" s="217"/>
      <c r="HX11" s="217"/>
      <c r="HY11" s="217"/>
      <c r="HZ11" s="217"/>
      <c r="IA11" s="217"/>
      <c r="IB11" s="217"/>
      <c r="IC11" s="217"/>
      <c r="ID11" s="217"/>
      <c r="IE11" s="217"/>
    </row>
    <row r="12" spans="1:239" ht="15" customHeight="1">
      <c r="A12" s="221" t="s">
        <v>347</v>
      </c>
      <c r="B12" s="222">
        <f>SUM(B13)</f>
        <v>0</v>
      </c>
      <c r="C12" s="222">
        <f>SUM(C13:C14)</f>
        <v>967</v>
      </c>
      <c r="D12" s="222">
        <v>967</v>
      </c>
      <c r="E12" s="222">
        <f t="shared" si="0"/>
        <v>0</v>
      </c>
      <c r="F12" s="223">
        <f t="shared" si="1"/>
        <v>100</v>
      </c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  <c r="DU12" s="217"/>
      <c r="DV12" s="217"/>
      <c r="DW12" s="217"/>
      <c r="DX12" s="217"/>
      <c r="DY12" s="217"/>
      <c r="DZ12" s="217"/>
      <c r="EA12" s="217"/>
      <c r="EB12" s="217"/>
      <c r="EC12" s="217"/>
      <c r="ED12" s="217"/>
      <c r="EE12" s="217"/>
      <c r="EF12" s="217"/>
      <c r="EG12" s="217"/>
      <c r="EH12" s="217"/>
      <c r="EI12" s="217"/>
      <c r="EJ12" s="217"/>
      <c r="EK12" s="217"/>
      <c r="EL12" s="217"/>
      <c r="EM12" s="217"/>
      <c r="EN12" s="217"/>
      <c r="EO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FC12" s="217"/>
      <c r="FD12" s="217"/>
      <c r="FE12" s="217"/>
      <c r="FF12" s="217"/>
      <c r="FG12" s="217"/>
      <c r="FH12" s="217"/>
      <c r="FI12" s="217"/>
      <c r="FJ12" s="217"/>
      <c r="FK12" s="217"/>
      <c r="FL12" s="217"/>
      <c r="FM12" s="217"/>
      <c r="FN12" s="217"/>
      <c r="FO12" s="217"/>
      <c r="FP12" s="217"/>
      <c r="FQ12" s="217"/>
      <c r="FR12" s="217"/>
      <c r="FS12" s="217"/>
      <c r="FT12" s="217"/>
      <c r="FU12" s="217"/>
      <c r="FV12" s="217"/>
      <c r="FW12" s="217"/>
      <c r="FX12" s="217"/>
      <c r="FY12" s="217"/>
      <c r="FZ12" s="217"/>
      <c r="GA12" s="217"/>
      <c r="GB12" s="217"/>
      <c r="GC12" s="217"/>
      <c r="GD12" s="217"/>
      <c r="GE12" s="217"/>
      <c r="GF12" s="217"/>
      <c r="GG12" s="217"/>
      <c r="GH12" s="217"/>
      <c r="GI12" s="217"/>
      <c r="GJ12" s="217"/>
      <c r="GK12" s="217"/>
      <c r="GL12" s="217"/>
      <c r="GM12" s="217"/>
      <c r="GN12" s="217"/>
      <c r="GO12" s="217"/>
      <c r="GP12" s="217"/>
      <c r="GQ12" s="217"/>
      <c r="GR12" s="217"/>
      <c r="GS12" s="217"/>
      <c r="GT12" s="217"/>
      <c r="GU12" s="217"/>
      <c r="GV12" s="217"/>
      <c r="GW12" s="217"/>
      <c r="GX12" s="217"/>
      <c r="GY12" s="217"/>
      <c r="GZ12" s="217"/>
      <c r="HA12" s="217"/>
      <c r="HB12" s="217"/>
      <c r="HC12" s="217"/>
      <c r="HD12" s="217"/>
      <c r="HE12" s="217"/>
      <c r="HF12" s="217"/>
      <c r="HG12" s="217"/>
      <c r="HH12" s="217"/>
      <c r="HI12" s="217"/>
      <c r="HJ12" s="217"/>
      <c r="HK12" s="217"/>
      <c r="HL12" s="217"/>
      <c r="HM12" s="217"/>
      <c r="HN12" s="217"/>
      <c r="HO12" s="217"/>
      <c r="HP12" s="217"/>
      <c r="HQ12" s="217"/>
      <c r="HR12" s="217"/>
      <c r="HS12" s="217"/>
      <c r="HT12" s="217"/>
      <c r="HU12" s="217"/>
      <c r="HV12" s="217"/>
      <c r="HW12" s="217"/>
      <c r="HX12" s="217"/>
      <c r="HY12" s="217"/>
      <c r="HZ12" s="217"/>
      <c r="IA12" s="217"/>
      <c r="IB12" s="217"/>
      <c r="IC12" s="217"/>
      <c r="ID12" s="217"/>
      <c r="IE12" s="217"/>
    </row>
    <row r="13" spans="1:239" ht="15" customHeight="1">
      <c r="A13" s="221" t="s">
        <v>830</v>
      </c>
      <c r="B13" s="222"/>
      <c r="C13" s="222"/>
      <c r="D13" s="222"/>
      <c r="E13" s="222">
        <f t="shared" si="0"/>
        <v>0</v>
      </c>
      <c r="F13" s="223" t="e">
        <f t="shared" si="1"/>
        <v>#DIV/0!</v>
      </c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FC13" s="217"/>
      <c r="FD13" s="217"/>
      <c r="FE13" s="217"/>
      <c r="FF13" s="217"/>
      <c r="FG13" s="217"/>
      <c r="FH13" s="217"/>
      <c r="FI13" s="217"/>
      <c r="FJ13" s="217"/>
      <c r="FK13" s="217"/>
      <c r="FL13" s="217"/>
      <c r="FM13" s="217"/>
      <c r="FN13" s="217"/>
      <c r="FO13" s="217"/>
      <c r="FP13" s="217"/>
      <c r="FQ13" s="217"/>
      <c r="FR13" s="217"/>
      <c r="FS13" s="217"/>
      <c r="FT13" s="217"/>
      <c r="FU13" s="217"/>
      <c r="FV13" s="217"/>
      <c r="FW13" s="217"/>
      <c r="FX13" s="217"/>
      <c r="FY13" s="217"/>
      <c r="FZ13" s="217"/>
      <c r="GA13" s="217"/>
      <c r="GB13" s="217"/>
      <c r="GC13" s="217"/>
      <c r="GD13" s="217"/>
      <c r="GE13" s="217"/>
      <c r="GF13" s="217"/>
      <c r="GG13" s="217"/>
      <c r="GH13" s="217"/>
      <c r="GI13" s="217"/>
      <c r="GJ13" s="217"/>
      <c r="GK13" s="217"/>
      <c r="GL13" s="217"/>
      <c r="GM13" s="217"/>
      <c r="GN13" s="217"/>
      <c r="GO13" s="217"/>
      <c r="GP13" s="217"/>
      <c r="GQ13" s="217"/>
      <c r="GR13" s="217"/>
      <c r="GS13" s="217"/>
      <c r="GT13" s="217"/>
      <c r="GU13" s="217"/>
      <c r="GV13" s="217"/>
      <c r="GW13" s="217"/>
      <c r="GX13" s="217"/>
      <c r="GY13" s="217"/>
      <c r="GZ13" s="217"/>
      <c r="HA13" s="217"/>
      <c r="HB13" s="217"/>
      <c r="HC13" s="217"/>
      <c r="HD13" s="217"/>
      <c r="HE13" s="217"/>
      <c r="HF13" s="217"/>
      <c r="HG13" s="217"/>
      <c r="HH13" s="217"/>
      <c r="HI13" s="217"/>
      <c r="HJ13" s="217"/>
      <c r="HK13" s="217"/>
      <c r="HL13" s="217"/>
      <c r="HM13" s="217"/>
      <c r="HN13" s="217"/>
      <c r="HO13" s="217"/>
      <c r="HP13" s="217"/>
      <c r="HQ13" s="217"/>
      <c r="HR13" s="217"/>
      <c r="HS13" s="217"/>
      <c r="HT13" s="217"/>
      <c r="HU13" s="217"/>
      <c r="HV13" s="217"/>
      <c r="HW13" s="217"/>
      <c r="HX13" s="217"/>
      <c r="HY13" s="217"/>
      <c r="HZ13" s="217"/>
      <c r="IA13" s="217"/>
      <c r="IB13" s="217"/>
      <c r="IC13" s="217"/>
      <c r="ID13" s="217"/>
      <c r="IE13" s="217"/>
    </row>
    <row r="14" spans="1:239" ht="15" customHeight="1">
      <c r="A14" s="224" t="s">
        <v>831</v>
      </c>
      <c r="B14" s="222"/>
      <c r="C14" s="222">
        <v>967</v>
      </c>
      <c r="D14" s="222">
        <v>967</v>
      </c>
      <c r="E14" s="222">
        <f t="shared" si="0"/>
        <v>0</v>
      </c>
      <c r="F14" s="223">
        <f t="shared" si="1"/>
        <v>100</v>
      </c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  <c r="DD14" s="217"/>
      <c r="DE14" s="217"/>
      <c r="DF14" s="217"/>
      <c r="DG14" s="217"/>
      <c r="DH14" s="217"/>
      <c r="DI14" s="217"/>
      <c r="DJ14" s="217"/>
      <c r="DK14" s="217"/>
      <c r="DL14" s="217"/>
      <c r="DM14" s="217"/>
      <c r="DN14" s="217"/>
      <c r="DO14" s="217"/>
      <c r="DP14" s="217"/>
      <c r="DQ14" s="217"/>
      <c r="DR14" s="217"/>
      <c r="DS14" s="217"/>
      <c r="DT14" s="217"/>
      <c r="DU14" s="217"/>
      <c r="DV14" s="217"/>
      <c r="DW14" s="217"/>
      <c r="DX14" s="217"/>
      <c r="DY14" s="217"/>
      <c r="DZ14" s="217"/>
      <c r="EA14" s="217"/>
      <c r="EB14" s="217"/>
      <c r="EC14" s="217"/>
      <c r="ED14" s="217"/>
      <c r="EE14" s="217"/>
      <c r="EF14" s="217"/>
      <c r="EG14" s="217"/>
      <c r="EH14" s="217"/>
      <c r="EI14" s="217"/>
      <c r="EJ14" s="217"/>
      <c r="EK14" s="217"/>
      <c r="EL14" s="217"/>
      <c r="EM14" s="217"/>
      <c r="EN14" s="217"/>
      <c r="EO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FC14" s="217"/>
      <c r="FD14" s="217"/>
      <c r="FE14" s="217"/>
      <c r="FF14" s="217"/>
      <c r="FG14" s="217"/>
      <c r="FH14" s="217"/>
      <c r="FI14" s="217"/>
      <c r="FJ14" s="217"/>
      <c r="FK14" s="217"/>
      <c r="FL14" s="217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7"/>
      <c r="GF14" s="217"/>
      <c r="GG14" s="217"/>
      <c r="GH14" s="217"/>
      <c r="GI14" s="217"/>
      <c r="GJ14" s="217"/>
      <c r="GK14" s="217"/>
      <c r="GL14" s="217"/>
      <c r="GM14" s="217"/>
      <c r="GN14" s="217"/>
      <c r="GO14" s="217"/>
      <c r="GP14" s="217"/>
      <c r="GQ14" s="217"/>
      <c r="GR14" s="217"/>
      <c r="GS14" s="217"/>
      <c r="GT14" s="217"/>
      <c r="GU14" s="217"/>
      <c r="GV14" s="217"/>
      <c r="GW14" s="217"/>
      <c r="GX14" s="217"/>
      <c r="GY14" s="217"/>
      <c r="GZ14" s="217"/>
      <c r="HA14" s="217"/>
      <c r="HB14" s="217"/>
      <c r="HC14" s="217"/>
      <c r="HD14" s="217"/>
      <c r="HE14" s="217"/>
      <c r="HF14" s="217"/>
      <c r="HG14" s="217"/>
      <c r="HH14" s="217"/>
      <c r="HI14" s="217"/>
      <c r="HJ14" s="217"/>
      <c r="HK14" s="217"/>
      <c r="HL14" s="217"/>
      <c r="HM14" s="217"/>
      <c r="HN14" s="217"/>
      <c r="HO14" s="217"/>
      <c r="HP14" s="217"/>
      <c r="HQ14" s="217"/>
      <c r="HR14" s="217"/>
      <c r="HS14" s="217"/>
      <c r="HT14" s="217"/>
      <c r="HU14" s="217"/>
      <c r="HV14" s="217"/>
      <c r="HW14" s="217"/>
      <c r="HX14" s="217"/>
      <c r="HY14" s="217"/>
      <c r="HZ14" s="217"/>
      <c r="IA14" s="217"/>
      <c r="IB14" s="217"/>
      <c r="IC14" s="217"/>
      <c r="ID14" s="217"/>
      <c r="IE14" s="217"/>
    </row>
    <row r="15" spans="1:239" ht="15" customHeight="1">
      <c r="A15" s="221" t="s">
        <v>357</v>
      </c>
      <c r="B15" s="222">
        <f>SUM(B16:B18)</f>
        <v>8</v>
      </c>
      <c r="C15" s="222">
        <f>SUM(C16:C18)</f>
        <v>18</v>
      </c>
      <c r="D15" s="222">
        <v>18</v>
      </c>
      <c r="E15" s="222">
        <f t="shared" si="0"/>
        <v>0</v>
      </c>
      <c r="F15" s="223">
        <f t="shared" si="1"/>
        <v>100</v>
      </c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  <c r="CV15" s="217"/>
      <c r="CW15" s="217"/>
      <c r="CX15" s="217"/>
      <c r="CY15" s="217"/>
      <c r="CZ15" s="217"/>
      <c r="DA15" s="217"/>
      <c r="DB15" s="217"/>
      <c r="DC15" s="217"/>
      <c r="DD15" s="217"/>
      <c r="DE15" s="217"/>
      <c r="DF15" s="217"/>
      <c r="DG15" s="217"/>
      <c r="DH15" s="217"/>
      <c r="DI15" s="217"/>
      <c r="DJ15" s="217"/>
      <c r="DK15" s="217"/>
      <c r="DL15" s="217"/>
      <c r="DM15" s="217"/>
      <c r="DN15" s="217"/>
      <c r="DO15" s="217"/>
      <c r="DP15" s="217"/>
      <c r="DQ15" s="217"/>
      <c r="DR15" s="217"/>
      <c r="DS15" s="217"/>
      <c r="DT15" s="217"/>
      <c r="DU15" s="217"/>
      <c r="DV15" s="217"/>
      <c r="DW15" s="217"/>
      <c r="DX15" s="217"/>
      <c r="DY15" s="217"/>
      <c r="DZ15" s="217"/>
      <c r="EA15" s="217"/>
      <c r="EB15" s="217"/>
      <c r="EC15" s="217"/>
      <c r="ED15" s="217"/>
      <c r="EE15" s="217"/>
      <c r="EF15" s="217"/>
      <c r="EG15" s="217"/>
      <c r="EH15" s="217"/>
      <c r="EI15" s="217"/>
      <c r="EJ15" s="217"/>
      <c r="EK15" s="217"/>
      <c r="EL15" s="217"/>
      <c r="EM15" s="217"/>
      <c r="EN15" s="217"/>
      <c r="EO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FC15" s="217"/>
      <c r="FD15" s="217"/>
      <c r="FE15" s="217"/>
      <c r="FF15" s="217"/>
      <c r="FG15" s="217"/>
      <c r="FH15" s="217"/>
      <c r="FI15" s="217"/>
      <c r="FJ15" s="217"/>
      <c r="FK15" s="217"/>
      <c r="FL15" s="217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7"/>
      <c r="GF15" s="217"/>
      <c r="GG15" s="217"/>
      <c r="GH15" s="217"/>
      <c r="GI15" s="217"/>
      <c r="GJ15" s="217"/>
      <c r="GK15" s="217"/>
      <c r="GL15" s="217"/>
      <c r="GM15" s="217"/>
      <c r="GN15" s="217"/>
      <c r="GO15" s="217"/>
      <c r="GP15" s="217"/>
      <c r="GQ15" s="217"/>
      <c r="GR15" s="217"/>
      <c r="GS15" s="217"/>
      <c r="GT15" s="217"/>
      <c r="GU15" s="217"/>
      <c r="GV15" s="217"/>
      <c r="GW15" s="217"/>
      <c r="GX15" s="217"/>
      <c r="GY15" s="217"/>
      <c r="GZ15" s="217"/>
      <c r="HA15" s="217"/>
      <c r="HB15" s="217"/>
      <c r="HC15" s="217"/>
      <c r="HD15" s="217"/>
      <c r="HE15" s="217"/>
      <c r="HF15" s="217"/>
      <c r="HG15" s="217"/>
      <c r="HH15" s="217"/>
      <c r="HI15" s="217"/>
      <c r="HJ15" s="217"/>
      <c r="HK15" s="217"/>
      <c r="HL15" s="217"/>
      <c r="HM15" s="217"/>
      <c r="HN15" s="217"/>
      <c r="HO15" s="217"/>
      <c r="HP15" s="217"/>
      <c r="HQ15" s="217"/>
      <c r="HR15" s="217"/>
      <c r="HS15" s="217"/>
      <c r="HT15" s="217"/>
      <c r="HU15" s="217"/>
      <c r="HV15" s="217"/>
      <c r="HW15" s="217"/>
      <c r="HX15" s="217"/>
      <c r="HY15" s="217"/>
      <c r="HZ15" s="217"/>
      <c r="IA15" s="217"/>
      <c r="IB15" s="217"/>
      <c r="IC15" s="217"/>
      <c r="ID15" s="217"/>
      <c r="IE15" s="217"/>
    </row>
    <row r="16" spans="1:239" ht="15" customHeight="1">
      <c r="A16" s="221" t="s">
        <v>832</v>
      </c>
      <c r="B16" s="226">
        <v>6</v>
      </c>
      <c r="C16" s="222">
        <v>6</v>
      </c>
      <c r="D16" s="222">
        <v>6</v>
      </c>
      <c r="E16" s="222">
        <f t="shared" si="0"/>
        <v>0</v>
      </c>
      <c r="F16" s="223">
        <f t="shared" si="1"/>
        <v>100</v>
      </c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7"/>
      <c r="CW16" s="217"/>
      <c r="CX16" s="217"/>
      <c r="CY16" s="217"/>
      <c r="CZ16" s="217"/>
      <c r="DA16" s="217"/>
      <c r="DB16" s="217"/>
      <c r="DC16" s="217"/>
      <c r="DD16" s="217"/>
      <c r="DE16" s="217"/>
      <c r="DF16" s="217"/>
      <c r="DG16" s="217"/>
      <c r="DH16" s="217"/>
      <c r="DI16" s="217"/>
      <c r="DJ16" s="217"/>
      <c r="DK16" s="217"/>
      <c r="DL16" s="217"/>
      <c r="DM16" s="217"/>
      <c r="DN16" s="217"/>
      <c r="DO16" s="217"/>
      <c r="DP16" s="217"/>
      <c r="DQ16" s="217"/>
      <c r="DR16" s="217"/>
      <c r="DS16" s="217"/>
      <c r="DT16" s="217"/>
      <c r="DU16" s="217"/>
      <c r="DV16" s="217"/>
      <c r="DW16" s="217"/>
      <c r="DX16" s="217"/>
      <c r="DY16" s="217"/>
      <c r="DZ16" s="217"/>
      <c r="EA16" s="217"/>
      <c r="EB16" s="217"/>
      <c r="EC16" s="217"/>
      <c r="ED16" s="217"/>
      <c r="EE16" s="217"/>
      <c r="EF16" s="217"/>
      <c r="EG16" s="217"/>
      <c r="EH16" s="217"/>
      <c r="EI16" s="217"/>
      <c r="EJ16" s="217"/>
      <c r="EK16" s="217"/>
      <c r="EL16" s="217"/>
      <c r="EM16" s="217"/>
      <c r="EN16" s="217"/>
      <c r="EO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FC16" s="217"/>
      <c r="FD16" s="217"/>
      <c r="FE16" s="217"/>
      <c r="FF16" s="217"/>
      <c r="FG16" s="217"/>
      <c r="FH16" s="217"/>
      <c r="FI16" s="217"/>
      <c r="FJ16" s="217"/>
      <c r="FK16" s="217"/>
      <c r="FL16" s="217"/>
      <c r="FM16" s="217"/>
      <c r="FN16" s="217"/>
      <c r="FO16" s="217"/>
      <c r="FP16" s="217"/>
      <c r="FQ16" s="217"/>
      <c r="FR16" s="217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7"/>
      <c r="GD16" s="217"/>
      <c r="GE16" s="217"/>
      <c r="GF16" s="217"/>
      <c r="GG16" s="217"/>
      <c r="GH16" s="217"/>
      <c r="GI16" s="217"/>
      <c r="GJ16" s="217"/>
      <c r="GK16" s="217"/>
      <c r="GL16" s="217"/>
      <c r="GM16" s="217"/>
      <c r="GN16" s="217"/>
      <c r="GO16" s="217"/>
      <c r="GP16" s="217"/>
      <c r="GQ16" s="217"/>
      <c r="GR16" s="217"/>
      <c r="GS16" s="217"/>
      <c r="GT16" s="217"/>
      <c r="GU16" s="217"/>
      <c r="GV16" s="217"/>
      <c r="GW16" s="217"/>
      <c r="GX16" s="217"/>
      <c r="GY16" s="217"/>
      <c r="GZ16" s="217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7"/>
      <c r="HL16" s="217"/>
      <c r="HM16" s="217"/>
      <c r="HN16" s="217"/>
      <c r="HO16" s="217"/>
      <c r="HP16" s="217"/>
      <c r="HQ16" s="217"/>
      <c r="HR16" s="217"/>
      <c r="HS16" s="217"/>
      <c r="HT16" s="217"/>
      <c r="HU16" s="217"/>
      <c r="HV16" s="217"/>
      <c r="HW16" s="217"/>
      <c r="HX16" s="217"/>
      <c r="HY16" s="217"/>
      <c r="HZ16" s="217"/>
      <c r="IA16" s="217"/>
      <c r="IB16" s="217"/>
      <c r="IC16" s="217"/>
      <c r="ID16" s="217"/>
      <c r="IE16" s="217"/>
    </row>
    <row r="17" spans="1:239" ht="15" customHeight="1">
      <c r="A17" s="221" t="s">
        <v>360</v>
      </c>
      <c r="B17" s="226">
        <v>1</v>
      </c>
      <c r="C17" s="222">
        <v>3</v>
      </c>
      <c r="D17" s="222">
        <v>3</v>
      </c>
      <c r="E17" s="222">
        <f t="shared" si="0"/>
        <v>0</v>
      </c>
      <c r="F17" s="223">
        <f t="shared" si="1"/>
        <v>100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7"/>
      <c r="DI17" s="217"/>
      <c r="DJ17" s="217"/>
      <c r="DK17" s="217"/>
      <c r="DL17" s="217"/>
      <c r="DM17" s="217"/>
      <c r="DN17" s="217"/>
      <c r="DO17" s="217"/>
      <c r="DP17" s="217"/>
      <c r="DQ17" s="217"/>
      <c r="DR17" s="217"/>
      <c r="DS17" s="217"/>
      <c r="DT17" s="217"/>
      <c r="DU17" s="217"/>
      <c r="DV17" s="217"/>
      <c r="DW17" s="217"/>
      <c r="DX17" s="217"/>
      <c r="DY17" s="217"/>
      <c r="DZ17" s="217"/>
      <c r="EA17" s="217"/>
      <c r="EB17" s="217"/>
      <c r="EC17" s="217"/>
      <c r="ED17" s="217"/>
      <c r="EE17" s="217"/>
      <c r="EF17" s="217"/>
      <c r="EG17" s="217"/>
      <c r="EH17" s="217"/>
      <c r="EI17" s="217"/>
      <c r="EJ17" s="217"/>
      <c r="EK17" s="217"/>
      <c r="EL17" s="217"/>
      <c r="EM17" s="217"/>
      <c r="EN17" s="217"/>
      <c r="EO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FC17" s="217"/>
      <c r="FD17" s="217"/>
      <c r="FE17" s="217"/>
      <c r="FF17" s="217"/>
      <c r="FG17" s="217"/>
      <c r="FH17" s="217"/>
      <c r="FI17" s="217"/>
      <c r="FJ17" s="217"/>
      <c r="FK17" s="217"/>
      <c r="FL17" s="217"/>
      <c r="FM17" s="217"/>
      <c r="FN17" s="217"/>
      <c r="FO17" s="217"/>
      <c r="FP17" s="217"/>
      <c r="FQ17" s="217"/>
      <c r="FR17" s="217"/>
      <c r="FS17" s="217"/>
      <c r="FT17" s="217"/>
      <c r="FU17" s="217"/>
      <c r="FV17" s="217"/>
      <c r="FW17" s="217"/>
      <c r="FX17" s="217"/>
      <c r="FY17" s="217"/>
      <c r="FZ17" s="217"/>
      <c r="GA17" s="217"/>
      <c r="GB17" s="217"/>
      <c r="GC17" s="217"/>
      <c r="GD17" s="217"/>
      <c r="GE17" s="217"/>
      <c r="GF17" s="217"/>
      <c r="GG17" s="217"/>
      <c r="GH17" s="217"/>
      <c r="GI17" s="217"/>
      <c r="GJ17" s="217"/>
      <c r="GK17" s="217"/>
      <c r="GL17" s="217"/>
      <c r="GM17" s="217"/>
      <c r="GN17" s="217"/>
      <c r="GO17" s="217"/>
      <c r="GP17" s="217"/>
      <c r="GQ17" s="217"/>
      <c r="GR17" s="217"/>
      <c r="GS17" s="217"/>
      <c r="GT17" s="217"/>
      <c r="GU17" s="217"/>
      <c r="GV17" s="217"/>
      <c r="GW17" s="217"/>
      <c r="GX17" s="217"/>
      <c r="GY17" s="217"/>
      <c r="GZ17" s="217"/>
      <c r="HA17" s="217"/>
      <c r="HB17" s="217"/>
      <c r="HC17" s="217"/>
      <c r="HD17" s="217"/>
      <c r="HE17" s="217"/>
      <c r="HF17" s="217"/>
      <c r="HG17" s="217"/>
      <c r="HH17" s="217"/>
      <c r="HI17" s="217"/>
      <c r="HJ17" s="217"/>
      <c r="HK17" s="217"/>
      <c r="HL17" s="217"/>
      <c r="HM17" s="217"/>
      <c r="HN17" s="217"/>
      <c r="HO17" s="217"/>
      <c r="HP17" s="217"/>
      <c r="HQ17" s="217"/>
      <c r="HR17" s="217"/>
      <c r="HS17" s="217"/>
      <c r="HT17" s="217"/>
      <c r="HU17" s="217"/>
      <c r="HV17" s="217"/>
      <c r="HW17" s="217"/>
      <c r="HX17" s="217"/>
      <c r="HY17" s="217"/>
      <c r="HZ17" s="217"/>
      <c r="IA17" s="217"/>
      <c r="IB17" s="217"/>
      <c r="IC17" s="217"/>
      <c r="ID17" s="217"/>
      <c r="IE17" s="217"/>
    </row>
    <row r="18" spans="1:239" ht="15" customHeight="1">
      <c r="A18" s="221" t="s">
        <v>361</v>
      </c>
      <c r="B18" s="226">
        <v>1</v>
      </c>
      <c r="C18" s="222">
        <v>9</v>
      </c>
      <c r="D18" s="222">
        <v>9</v>
      </c>
      <c r="E18" s="222">
        <f t="shared" si="0"/>
        <v>0</v>
      </c>
      <c r="F18" s="223">
        <f t="shared" si="1"/>
        <v>100</v>
      </c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7"/>
      <c r="FL18" s="217"/>
      <c r="FM18" s="217"/>
      <c r="FN18" s="217"/>
      <c r="FO18" s="217"/>
      <c r="FP18" s="217"/>
      <c r="FQ18" s="217"/>
      <c r="FR18" s="217"/>
      <c r="FS18" s="217"/>
      <c r="FT18" s="217"/>
      <c r="FU18" s="217"/>
      <c r="FV18" s="217"/>
      <c r="FW18" s="217"/>
      <c r="FX18" s="217"/>
      <c r="FY18" s="217"/>
      <c r="FZ18" s="217"/>
      <c r="GA18" s="217"/>
      <c r="GB18" s="217"/>
      <c r="GC18" s="217"/>
      <c r="GD18" s="217"/>
      <c r="GE18" s="217"/>
      <c r="GF18" s="217"/>
      <c r="GG18" s="217"/>
      <c r="GH18" s="217"/>
      <c r="GI18" s="217"/>
      <c r="GJ18" s="217"/>
      <c r="GK18" s="217"/>
      <c r="GL18" s="217"/>
      <c r="GM18" s="217"/>
      <c r="GN18" s="217"/>
      <c r="GO18" s="217"/>
      <c r="GP18" s="217"/>
      <c r="GQ18" s="217"/>
      <c r="GR18" s="217"/>
      <c r="GS18" s="217"/>
      <c r="GT18" s="217"/>
      <c r="GU18" s="217"/>
      <c r="GV18" s="217"/>
      <c r="GW18" s="217"/>
      <c r="GX18" s="217"/>
      <c r="GY18" s="217"/>
      <c r="GZ18" s="217"/>
      <c r="HA18" s="217"/>
      <c r="HB18" s="217"/>
      <c r="HC18" s="217"/>
      <c r="HD18" s="217"/>
      <c r="HE18" s="217"/>
      <c r="HF18" s="217"/>
      <c r="HG18" s="217"/>
      <c r="HH18" s="217"/>
      <c r="HI18" s="217"/>
      <c r="HJ18" s="217"/>
      <c r="HK18" s="217"/>
      <c r="HL18" s="217"/>
      <c r="HM18" s="217"/>
      <c r="HN18" s="217"/>
      <c r="HO18" s="217"/>
      <c r="HP18" s="217"/>
      <c r="HQ18" s="217"/>
      <c r="HR18" s="217"/>
      <c r="HS18" s="217"/>
      <c r="HT18" s="217"/>
      <c r="HU18" s="217"/>
      <c r="HV18" s="217"/>
      <c r="HW18" s="217"/>
      <c r="HX18" s="217"/>
      <c r="HY18" s="217"/>
      <c r="HZ18" s="217"/>
      <c r="IA18" s="217"/>
      <c r="IB18" s="217"/>
      <c r="IC18" s="217"/>
      <c r="ID18" s="217"/>
      <c r="IE18" s="217"/>
    </row>
    <row r="19" spans="1:6" ht="15" customHeight="1">
      <c r="A19" s="221" t="s">
        <v>83</v>
      </c>
      <c r="B19" s="222">
        <f>SUM(B20)</f>
        <v>0</v>
      </c>
      <c r="C19" s="222">
        <f>SUM(C20)</f>
        <v>11</v>
      </c>
      <c r="D19" s="222">
        <f>SUM(D20)</f>
        <v>11</v>
      </c>
      <c r="E19" s="222">
        <f t="shared" si="0"/>
        <v>0</v>
      </c>
      <c r="F19" s="223">
        <f t="shared" si="1"/>
        <v>100</v>
      </c>
    </row>
    <row r="20" spans="1:6" ht="15" customHeight="1">
      <c r="A20" s="221" t="s">
        <v>446</v>
      </c>
      <c r="B20" s="222">
        <f>SUM(B21:B22)</f>
        <v>0</v>
      </c>
      <c r="C20" s="222">
        <f>SUM(C21:C22)</f>
        <v>11</v>
      </c>
      <c r="D20" s="222">
        <v>11</v>
      </c>
      <c r="E20" s="222">
        <f t="shared" si="0"/>
        <v>0</v>
      </c>
      <c r="F20" s="223">
        <f t="shared" si="1"/>
        <v>100</v>
      </c>
    </row>
    <row r="21" spans="1:6" ht="15" customHeight="1">
      <c r="A21" s="221" t="s">
        <v>833</v>
      </c>
      <c r="B21" s="222"/>
      <c r="C21" s="222">
        <v>11</v>
      </c>
      <c r="D21" s="222">
        <v>11</v>
      </c>
      <c r="E21" s="222">
        <f t="shared" si="0"/>
        <v>0</v>
      </c>
      <c r="F21" s="223">
        <f t="shared" si="1"/>
        <v>100</v>
      </c>
    </row>
    <row r="22" spans="1:6" ht="15" customHeight="1">
      <c r="A22" s="221" t="s">
        <v>449</v>
      </c>
      <c r="B22" s="222"/>
      <c r="C22" s="222"/>
      <c r="D22" s="222"/>
      <c r="E22" s="222">
        <f t="shared" si="0"/>
        <v>0</v>
      </c>
      <c r="F22" s="223" t="e">
        <f t="shared" si="1"/>
        <v>#DIV/0!</v>
      </c>
    </row>
    <row r="23" spans="1:6" ht="15" customHeight="1">
      <c r="A23" s="221" t="s">
        <v>84</v>
      </c>
      <c r="B23" s="222">
        <f>SUM(B24,B27)</f>
        <v>0</v>
      </c>
      <c r="C23" s="222">
        <f>SUM(C24,C27)</f>
        <v>17</v>
      </c>
      <c r="D23" s="222">
        <f>SUM(D24,D27)</f>
        <v>17</v>
      </c>
      <c r="E23" s="222">
        <f t="shared" si="0"/>
        <v>0</v>
      </c>
      <c r="F23" s="223">
        <f t="shared" si="1"/>
        <v>100</v>
      </c>
    </row>
    <row r="24" spans="1:6" ht="15" customHeight="1">
      <c r="A24" s="221" t="s">
        <v>457</v>
      </c>
      <c r="B24" s="222"/>
      <c r="C24" s="222">
        <f>C25+C26</f>
        <v>10</v>
      </c>
      <c r="D24" s="222">
        <f>D25+D26</f>
        <v>10</v>
      </c>
      <c r="E24" s="222">
        <f t="shared" si="0"/>
        <v>0</v>
      </c>
      <c r="F24" s="223">
        <f t="shared" si="1"/>
        <v>100</v>
      </c>
    </row>
    <row r="25" spans="1:6" ht="15" customHeight="1">
      <c r="A25" s="221" t="s">
        <v>458</v>
      </c>
      <c r="B25" s="222"/>
      <c r="C25" s="222">
        <v>4</v>
      </c>
      <c r="D25" s="222">
        <v>4</v>
      </c>
      <c r="E25" s="222">
        <f t="shared" si="0"/>
        <v>0</v>
      </c>
      <c r="F25" s="223">
        <f t="shared" si="1"/>
        <v>100</v>
      </c>
    </row>
    <row r="26" spans="1:6" ht="15" customHeight="1">
      <c r="A26" s="221" t="s">
        <v>459</v>
      </c>
      <c r="B26" s="222"/>
      <c r="C26" s="222">
        <v>6</v>
      </c>
      <c r="D26" s="222">
        <v>6</v>
      </c>
      <c r="E26" s="222">
        <f t="shared" si="0"/>
        <v>0</v>
      </c>
      <c r="F26" s="223">
        <f t="shared" si="1"/>
        <v>100</v>
      </c>
    </row>
    <row r="27" spans="1:6" ht="15" customHeight="1">
      <c r="A27" s="221" t="s">
        <v>466</v>
      </c>
      <c r="B27" s="222"/>
      <c r="C27" s="222">
        <f>SUM(C28)</f>
        <v>7</v>
      </c>
      <c r="D27" s="222">
        <f>SUM(D28)</f>
        <v>7</v>
      </c>
      <c r="E27" s="222">
        <f t="shared" si="0"/>
        <v>0</v>
      </c>
      <c r="F27" s="223">
        <f t="shared" si="1"/>
        <v>100</v>
      </c>
    </row>
    <row r="28" spans="1:6" ht="15" customHeight="1">
      <c r="A28" s="221" t="s">
        <v>468</v>
      </c>
      <c r="B28" s="222"/>
      <c r="C28" s="222">
        <v>7</v>
      </c>
      <c r="D28" s="222">
        <v>7</v>
      </c>
      <c r="E28" s="222">
        <f t="shared" si="0"/>
        <v>0</v>
      </c>
      <c r="F28" s="223">
        <f t="shared" si="1"/>
        <v>100</v>
      </c>
    </row>
    <row r="29" spans="1:6" ht="15" customHeight="1">
      <c r="A29" s="221" t="s">
        <v>507</v>
      </c>
      <c r="B29" s="222"/>
      <c r="C29" s="222">
        <f>C30</f>
        <v>25</v>
      </c>
      <c r="D29" s="222">
        <f>D30</f>
        <v>25</v>
      </c>
      <c r="E29" s="222">
        <f t="shared" si="0"/>
        <v>0</v>
      </c>
      <c r="F29" s="223">
        <f t="shared" si="1"/>
        <v>100</v>
      </c>
    </row>
    <row r="30" spans="1:6" ht="15" customHeight="1">
      <c r="A30" s="221" t="s">
        <v>508</v>
      </c>
      <c r="B30" s="222"/>
      <c r="C30" s="222">
        <f>SUM(C31:C32)</f>
        <v>25</v>
      </c>
      <c r="D30" s="222">
        <f>SUM(D31:D32)</f>
        <v>25</v>
      </c>
      <c r="E30" s="222">
        <f t="shared" si="0"/>
        <v>0</v>
      </c>
      <c r="F30" s="223">
        <f t="shared" si="1"/>
        <v>100</v>
      </c>
    </row>
    <row r="31" spans="1:6" ht="15" customHeight="1">
      <c r="A31" s="221" t="s">
        <v>511</v>
      </c>
      <c r="B31" s="222"/>
      <c r="C31" s="222">
        <v>10</v>
      </c>
      <c r="D31" s="222">
        <v>10</v>
      </c>
      <c r="E31" s="222">
        <f t="shared" si="0"/>
        <v>0</v>
      </c>
      <c r="F31" s="223">
        <f t="shared" si="1"/>
        <v>100</v>
      </c>
    </row>
    <row r="32" spans="1:6" ht="15" customHeight="1">
      <c r="A32" s="221" t="s">
        <v>515</v>
      </c>
      <c r="B32" s="222"/>
      <c r="C32" s="222">
        <v>15</v>
      </c>
      <c r="D32" s="222">
        <v>15</v>
      </c>
      <c r="E32" s="222">
        <f t="shared" si="0"/>
        <v>0</v>
      </c>
      <c r="F32" s="223">
        <f t="shared" si="1"/>
        <v>100</v>
      </c>
    </row>
    <row r="33" spans="1:6" ht="15" customHeight="1">
      <c r="A33" s="221" t="s">
        <v>87</v>
      </c>
      <c r="B33" s="222">
        <f>SUM(B34,B38,B41,B44,B50,B52,B55,B58,B60,B62)</f>
        <v>7427</v>
      </c>
      <c r="C33" s="222">
        <f>SUM(C34,C38,C41,C44,C50,C52,C55,C58,C60,C62)</f>
        <v>9288</v>
      </c>
      <c r="D33" s="222">
        <f>SUM(D34,D38,D41,D44,D50,D52,D55,D58,D60,D62)</f>
        <v>9288</v>
      </c>
      <c r="E33" s="222">
        <f t="shared" si="0"/>
        <v>0</v>
      </c>
      <c r="F33" s="223">
        <f t="shared" si="1"/>
        <v>100</v>
      </c>
    </row>
    <row r="34" spans="1:6" ht="15" customHeight="1">
      <c r="A34" s="221" t="s">
        <v>834</v>
      </c>
      <c r="B34" s="222">
        <f>SUM(B35:B37)</f>
        <v>21</v>
      </c>
      <c r="C34" s="222">
        <f>SUM(C35:C37)</f>
        <v>222</v>
      </c>
      <c r="D34" s="222">
        <v>222</v>
      </c>
      <c r="E34" s="222">
        <f t="shared" si="0"/>
        <v>0</v>
      </c>
      <c r="F34" s="223">
        <f t="shared" si="1"/>
        <v>100</v>
      </c>
    </row>
    <row r="35" spans="1:6" ht="15" customHeight="1">
      <c r="A35" s="221" t="s">
        <v>835</v>
      </c>
      <c r="B35" s="226">
        <v>19</v>
      </c>
      <c r="C35" s="222">
        <v>21</v>
      </c>
      <c r="D35" s="222">
        <v>21</v>
      </c>
      <c r="E35" s="222">
        <f t="shared" si="0"/>
        <v>0</v>
      </c>
      <c r="F35" s="223">
        <f t="shared" si="1"/>
        <v>100</v>
      </c>
    </row>
    <row r="36" spans="1:6" ht="15" customHeight="1">
      <c r="A36" s="225" t="s">
        <v>836</v>
      </c>
      <c r="B36" s="226"/>
      <c r="C36" s="222">
        <v>200</v>
      </c>
      <c r="D36" s="222">
        <v>200</v>
      </c>
      <c r="E36" s="222">
        <f t="shared" si="0"/>
        <v>0</v>
      </c>
      <c r="F36" s="223">
        <f t="shared" si="1"/>
        <v>100</v>
      </c>
    </row>
    <row r="37" spans="1:6" ht="15" customHeight="1">
      <c r="A37" s="221" t="s">
        <v>837</v>
      </c>
      <c r="B37" s="226">
        <v>2</v>
      </c>
      <c r="C37" s="222">
        <v>1</v>
      </c>
      <c r="D37" s="222">
        <v>1</v>
      </c>
      <c r="E37" s="222">
        <f t="shared" si="0"/>
        <v>0</v>
      </c>
      <c r="F37" s="223">
        <f t="shared" si="1"/>
        <v>100</v>
      </c>
    </row>
    <row r="38" spans="1:6" ht="15" customHeight="1">
      <c r="A38" s="221" t="s">
        <v>541</v>
      </c>
      <c r="B38" s="222">
        <f>SUM(B39:B40)</f>
        <v>632</v>
      </c>
      <c r="C38" s="222">
        <f>SUM(C39:C40)</f>
        <v>632</v>
      </c>
      <c r="D38" s="222">
        <v>632</v>
      </c>
      <c r="E38" s="222">
        <f t="shared" si="0"/>
        <v>0</v>
      </c>
      <c r="F38" s="223">
        <f t="shared" si="1"/>
        <v>100</v>
      </c>
    </row>
    <row r="39" spans="1:6" ht="15" customHeight="1">
      <c r="A39" s="221" t="s">
        <v>542</v>
      </c>
      <c r="B39" s="226">
        <v>11</v>
      </c>
      <c r="C39" s="222">
        <v>10</v>
      </c>
      <c r="D39" s="222">
        <v>10</v>
      </c>
      <c r="E39" s="222">
        <f t="shared" si="0"/>
        <v>0</v>
      </c>
      <c r="F39" s="223">
        <f aca="true" t="shared" si="2" ref="F39:F63">D39/C39*100</f>
        <v>100</v>
      </c>
    </row>
    <row r="40" spans="1:6" ht="15" customHeight="1">
      <c r="A40" s="221" t="s">
        <v>545</v>
      </c>
      <c r="B40" s="226">
        <v>621</v>
      </c>
      <c r="C40" s="227">
        <f>621+1</f>
        <v>622</v>
      </c>
      <c r="D40" s="222">
        <v>622</v>
      </c>
      <c r="E40" s="222">
        <f t="shared" si="0"/>
        <v>0</v>
      </c>
      <c r="F40" s="223">
        <f t="shared" si="2"/>
        <v>100</v>
      </c>
    </row>
    <row r="41" spans="1:6" ht="15" customHeight="1">
      <c r="A41" s="221" t="s">
        <v>553</v>
      </c>
      <c r="B41" s="222">
        <f>SUM(B42:B43)</f>
        <v>190</v>
      </c>
      <c r="C41" s="222">
        <f>SUM(C42:C43)</f>
        <v>191</v>
      </c>
      <c r="D41" s="222">
        <v>191</v>
      </c>
      <c r="E41" s="222">
        <f t="shared" si="0"/>
        <v>0</v>
      </c>
      <c r="F41" s="223">
        <f t="shared" si="2"/>
        <v>100</v>
      </c>
    </row>
    <row r="42" spans="1:6" ht="15" customHeight="1">
      <c r="A42" s="221" t="s">
        <v>554</v>
      </c>
      <c r="B42" s="226">
        <v>35</v>
      </c>
      <c r="C42" s="222">
        <v>35</v>
      </c>
      <c r="D42" s="222">
        <v>35</v>
      </c>
      <c r="E42" s="222">
        <f t="shared" si="0"/>
        <v>0</v>
      </c>
      <c r="F42" s="223">
        <f t="shared" si="2"/>
        <v>100</v>
      </c>
    </row>
    <row r="43" spans="1:6" ht="15" customHeight="1">
      <c r="A43" s="221" t="s">
        <v>557</v>
      </c>
      <c r="B43" s="226">
        <v>155</v>
      </c>
      <c r="C43" s="227">
        <f>155+1</f>
        <v>156</v>
      </c>
      <c r="D43" s="222">
        <v>156</v>
      </c>
      <c r="E43" s="222">
        <f t="shared" si="0"/>
        <v>0</v>
      </c>
      <c r="F43" s="223">
        <f t="shared" si="2"/>
        <v>100</v>
      </c>
    </row>
    <row r="44" spans="1:6" ht="15" customHeight="1">
      <c r="A44" s="221" t="s">
        <v>558</v>
      </c>
      <c r="B44" s="228">
        <f>SUM(B48)</f>
        <v>82</v>
      </c>
      <c r="C44" s="222">
        <f>SUM(C45:C49)</f>
        <v>428</v>
      </c>
      <c r="D44" s="222">
        <v>428</v>
      </c>
      <c r="E44" s="222">
        <f t="shared" si="0"/>
        <v>0</v>
      </c>
      <c r="F44" s="223">
        <f t="shared" si="2"/>
        <v>100</v>
      </c>
    </row>
    <row r="45" spans="1:6" ht="15" customHeight="1">
      <c r="A45" s="221" t="s">
        <v>559</v>
      </c>
      <c r="B45" s="229"/>
      <c r="C45" s="230">
        <v>12</v>
      </c>
      <c r="D45" s="222">
        <v>12</v>
      </c>
      <c r="E45" s="222">
        <f t="shared" si="0"/>
        <v>0</v>
      </c>
      <c r="F45" s="223">
        <f t="shared" si="2"/>
        <v>100</v>
      </c>
    </row>
    <row r="46" spans="1:6" ht="15" customHeight="1">
      <c r="A46" s="221" t="s">
        <v>560</v>
      </c>
      <c r="B46" s="229"/>
      <c r="C46" s="230">
        <v>25</v>
      </c>
      <c r="D46" s="222">
        <v>25</v>
      </c>
      <c r="E46" s="222">
        <f t="shared" si="0"/>
        <v>0</v>
      </c>
      <c r="F46" s="223">
        <f t="shared" si="2"/>
        <v>100</v>
      </c>
    </row>
    <row r="47" spans="1:6" ht="15" customHeight="1">
      <c r="A47" s="221" t="s">
        <v>561</v>
      </c>
      <c r="B47" s="229"/>
      <c r="C47" s="231">
        <f>271+1</f>
        <v>272</v>
      </c>
      <c r="D47" s="222">
        <v>272</v>
      </c>
      <c r="E47" s="222">
        <f t="shared" si="0"/>
        <v>0</v>
      </c>
      <c r="F47" s="223">
        <f t="shared" si="2"/>
        <v>100</v>
      </c>
    </row>
    <row r="48" spans="1:6" ht="15" customHeight="1">
      <c r="A48" s="221" t="s">
        <v>562</v>
      </c>
      <c r="B48" s="232">
        <v>82</v>
      </c>
      <c r="C48" s="230">
        <v>113</v>
      </c>
      <c r="D48" s="222">
        <v>113</v>
      </c>
      <c r="E48" s="222">
        <f t="shared" si="0"/>
        <v>0</v>
      </c>
      <c r="F48" s="223">
        <f t="shared" si="2"/>
        <v>100</v>
      </c>
    </row>
    <row r="49" spans="1:6" ht="15" customHeight="1">
      <c r="A49" s="221" t="s">
        <v>563</v>
      </c>
      <c r="B49" s="232"/>
      <c r="C49" s="230">
        <v>6</v>
      </c>
      <c r="D49" s="222">
        <v>6</v>
      </c>
      <c r="E49" s="222">
        <f t="shared" si="0"/>
        <v>0</v>
      </c>
      <c r="F49" s="223">
        <f t="shared" si="2"/>
        <v>100</v>
      </c>
    </row>
    <row r="50" spans="1:6" ht="15" customHeight="1">
      <c r="A50" s="221" t="s">
        <v>565</v>
      </c>
      <c r="B50" s="232"/>
      <c r="C50" s="230">
        <v>22</v>
      </c>
      <c r="D50" s="222">
        <v>22</v>
      </c>
      <c r="E50" s="222">
        <f t="shared" si="0"/>
        <v>0</v>
      </c>
      <c r="F50" s="223">
        <f t="shared" si="2"/>
        <v>100</v>
      </c>
    </row>
    <row r="51" spans="1:6" ht="15" customHeight="1">
      <c r="A51" s="221" t="s">
        <v>566</v>
      </c>
      <c r="B51" s="232"/>
      <c r="C51" s="230">
        <v>22</v>
      </c>
      <c r="D51" s="222">
        <v>22</v>
      </c>
      <c r="E51" s="222">
        <f t="shared" si="0"/>
        <v>0</v>
      </c>
      <c r="F51" s="223">
        <f t="shared" si="2"/>
        <v>100</v>
      </c>
    </row>
    <row r="52" spans="1:6" ht="15" customHeight="1">
      <c r="A52" s="221" t="s">
        <v>572</v>
      </c>
      <c r="B52" s="229">
        <f>SUM(B54)</f>
        <v>80</v>
      </c>
      <c r="C52" s="230">
        <f>SUM(C53:C54)</f>
        <v>297</v>
      </c>
      <c r="D52" s="222">
        <v>297</v>
      </c>
      <c r="E52" s="222">
        <f t="shared" si="0"/>
        <v>0</v>
      </c>
      <c r="F52" s="223">
        <f t="shared" si="2"/>
        <v>100</v>
      </c>
    </row>
    <row r="53" spans="1:6" ht="15" customHeight="1">
      <c r="A53" s="221" t="s">
        <v>574</v>
      </c>
      <c r="B53" s="229"/>
      <c r="C53" s="230">
        <v>217</v>
      </c>
      <c r="D53" s="222">
        <v>217</v>
      </c>
      <c r="E53" s="222">
        <f t="shared" si="0"/>
        <v>0</v>
      </c>
      <c r="F53" s="223">
        <f t="shared" si="2"/>
        <v>100</v>
      </c>
    </row>
    <row r="54" spans="1:6" ht="15" customHeight="1">
      <c r="A54" s="221" t="s">
        <v>575</v>
      </c>
      <c r="B54" s="233">
        <v>80</v>
      </c>
      <c r="C54" s="222">
        <v>80</v>
      </c>
      <c r="D54" s="222">
        <v>80</v>
      </c>
      <c r="E54" s="222">
        <f t="shared" si="0"/>
        <v>0</v>
      </c>
      <c r="F54" s="223">
        <f t="shared" si="2"/>
        <v>100</v>
      </c>
    </row>
    <row r="55" spans="1:6" ht="15" customHeight="1">
      <c r="A55" s="221" t="s">
        <v>585</v>
      </c>
      <c r="B55" s="222">
        <f>SUM(B56:B57)</f>
        <v>510</v>
      </c>
      <c r="C55" s="222">
        <f>SUM(C56:C57)</f>
        <v>1512</v>
      </c>
      <c r="D55" s="222">
        <v>1512</v>
      </c>
      <c r="E55" s="222">
        <f t="shared" si="0"/>
        <v>0</v>
      </c>
      <c r="F55" s="223">
        <f t="shared" si="2"/>
        <v>100</v>
      </c>
    </row>
    <row r="56" spans="1:6" ht="15" customHeight="1">
      <c r="A56" s="221" t="s">
        <v>586</v>
      </c>
      <c r="B56" s="226">
        <v>31</v>
      </c>
      <c r="C56" s="222">
        <v>63</v>
      </c>
      <c r="D56" s="222">
        <v>63</v>
      </c>
      <c r="E56" s="222">
        <f t="shared" si="0"/>
        <v>0</v>
      </c>
      <c r="F56" s="223">
        <f t="shared" si="2"/>
        <v>100</v>
      </c>
    </row>
    <row r="57" spans="1:6" ht="15" customHeight="1">
      <c r="A57" s="221" t="s">
        <v>587</v>
      </c>
      <c r="B57" s="226">
        <v>479</v>
      </c>
      <c r="C57" s="222">
        <v>1449</v>
      </c>
      <c r="D57" s="222">
        <v>1449</v>
      </c>
      <c r="E57" s="222">
        <f t="shared" si="0"/>
        <v>0</v>
      </c>
      <c r="F57" s="223">
        <f t="shared" si="2"/>
        <v>100</v>
      </c>
    </row>
    <row r="58" spans="1:6" ht="15" customHeight="1">
      <c r="A58" s="221" t="s">
        <v>591</v>
      </c>
      <c r="B58" s="222">
        <f>SUM(B59)</f>
        <v>53</v>
      </c>
      <c r="C58" s="222">
        <f>SUM(C59)</f>
        <v>107</v>
      </c>
      <c r="D58" s="222">
        <v>107</v>
      </c>
      <c r="E58" s="222">
        <f t="shared" si="0"/>
        <v>0</v>
      </c>
      <c r="F58" s="223">
        <f t="shared" si="2"/>
        <v>100</v>
      </c>
    </row>
    <row r="59" spans="1:6" ht="15" customHeight="1">
      <c r="A59" s="221" t="s">
        <v>592</v>
      </c>
      <c r="B59" s="234">
        <v>53</v>
      </c>
      <c r="C59" s="222">
        <v>107</v>
      </c>
      <c r="D59" s="222">
        <v>107</v>
      </c>
      <c r="E59" s="222">
        <f t="shared" si="0"/>
        <v>0</v>
      </c>
      <c r="F59" s="223">
        <f t="shared" si="2"/>
        <v>100</v>
      </c>
    </row>
    <row r="60" spans="1:6" ht="15" customHeight="1">
      <c r="A60" s="221" t="s">
        <v>593</v>
      </c>
      <c r="B60" s="232"/>
      <c r="C60" s="230">
        <v>18</v>
      </c>
      <c r="D60" s="222">
        <v>18</v>
      </c>
      <c r="E60" s="222">
        <f t="shared" si="0"/>
        <v>0</v>
      </c>
      <c r="F60" s="223">
        <f t="shared" si="2"/>
        <v>100</v>
      </c>
    </row>
    <row r="61" spans="1:6" ht="15" customHeight="1">
      <c r="A61" s="221" t="s">
        <v>595</v>
      </c>
      <c r="B61" s="232"/>
      <c r="C61" s="230">
        <v>18</v>
      </c>
      <c r="D61" s="222">
        <v>18</v>
      </c>
      <c r="E61" s="222">
        <f t="shared" si="0"/>
        <v>0</v>
      </c>
      <c r="F61" s="223">
        <f t="shared" si="2"/>
        <v>100</v>
      </c>
    </row>
    <row r="62" spans="1:6" ht="15" customHeight="1">
      <c r="A62" s="221" t="s">
        <v>596</v>
      </c>
      <c r="B62" s="235">
        <f>SUM(B63)</f>
        <v>5859</v>
      </c>
      <c r="C62" s="222">
        <v>5859</v>
      </c>
      <c r="D62" s="222">
        <v>5859</v>
      </c>
      <c r="E62" s="222">
        <f t="shared" si="0"/>
        <v>0</v>
      </c>
      <c r="F62" s="223">
        <f t="shared" si="2"/>
        <v>100</v>
      </c>
    </row>
    <row r="63" spans="1:6" ht="15" customHeight="1">
      <c r="A63" s="221" t="s">
        <v>597</v>
      </c>
      <c r="B63" s="226">
        <v>5859</v>
      </c>
      <c r="C63" s="222">
        <v>5859</v>
      </c>
      <c r="D63" s="222">
        <v>5859</v>
      </c>
      <c r="E63" s="222">
        <f t="shared" si="0"/>
        <v>0</v>
      </c>
      <c r="F63" s="223">
        <f t="shared" si="2"/>
        <v>100</v>
      </c>
    </row>
    <row r="64" spans="1:6" ht="15" customHeight="1">
      <c r="A64" s="221" t="s">
        <v>88</v>
      </c>
      <c r="B64" s="222">
        <f>SUM(B65,B67,B69,B71,B75,B77,B79)</f>
        <v>11068</v>
      </c>
      <c r="C64" s="222">
        <f>SUM(C65,C67,C69,C71,C75,C77,C79)</f>
        <v>11393</v>
      </c>
      <c r="D64" s="222">
        <f>SUM(D65,D67,D69,D71,D75,D77,D79)</f>
        <v>11393</v>
      </c>
      <c r="E64" s="222">
        <f t="shared" si="0"/>
        <v>0</v>
      </c>
      <c r="F64" s="223">
        <f aca="true" t="shared" si="3" ref="F64:F127">D64/C64*100</f>
        <v>100</v>
      </c>
    </row>
    <row r="65" spans="1:6" ht="15" customHeight="1">
      <c r="A65" s="221" t="s">
        <v>838</v>
      </c>
      <c r="B65" s="222">
        <f>SUM(B66)</f>
        <v>7</v>
      </c>
      <c r="C65" s="222">
        <f>SUM(C66)</f>
        <v>7</v>
      </c>
      <c r="D65" s="222">
        <v>7</v>
      </c>
      <c r="E65" s="222">
        <f t="shared" si="0"/>
        <v>0</v>
      </c>
      <c r="F65" s="223">
        <f t="shared" si="3"/>
        <v>100</v>
      </c>
    </row>
    <row r="66" spans="1:6" ht="15" customHeight="1">
      <c r="A66" s="221" t="s">
        <v>607</v>
      </c>
      <c r="B66" s="226">
        <v>7</v>
      </c>
      <c r="C66" s="222">
        <v>7</v>
      </c>
      <c r="D66" s="222">
        <v>7</v>
      </c>
      <c r="E66" s="222">
        <f t="shared" si="0"/>
        <v>0</v>
      </c>
      <c r="F66" s="223">
        <f t="shared" si="3"/>
        <v>100</v>
      </c>
    </row>
    <row r="67" spans="1:6" ht="15" customHeight="1">
      <c r="A67" s="221" t="s">
        <v>615</v>
      </c>
      <c r="B67" s="222">
        <f>SUM(B68)</f>
        <v>2248</v>
      </c>
      <c r="C67" s="222">
        <f>SUM(C68)</f>
        <v>1709</v>
      </c>
      <c r="D67" s="222">
        <f>SUM(D68)</f>
        <v>1709</v>
      </c>
      <c r="E67" s="222">
        <f t="shared" si="0"/>
        <v>0</v>
      </c>
      <c r="F67" s="223">
        <f t="shared" si="3"/>
        <v>100</v>
      </c>
    </row>
    <row r="68" spans="1:6" ht="15" customHeight="1">
      <c r="A68" s="221" t="s">
        <v>619</v>
      </c>
      <c r="B68" s="226">
        <v>2248</v>
      </c>
      <c r="C68" s="222">
        <f>1759+1-51</f>
        <v>1709</v>
      </c>
      <c r="D68" s="222">
        <f>1760-51</f>
        <v>1709</v>
      </c>
      <c r="E68" s="222">
        <f t="shared" si="0"/>
        <v>0</v>
      </c>
      <c r="F68" s="223">
        <f t="shared" si="3"/>
        <v>100</v>
      </c>
    </row>
    <row r="69" spans="1:6" ht="15" customHeight="1">
      <c r="A69" s="221" t="s">
        <v>625</v>
      </c>
      <c r="B69" s="222">
        <f>SUM(B70)</f>
        <v>537</v>
      </c>
      <c r="C69" s="222">
        <f>SUM(C70)</f>
        <v>537</v>
      </c>
      <c r="D69" s="222">
        <v>537</v>
      </c>
      <c r="E69" s="222">
        <f t="shared" si="0"/>
        <v>0</v>
      </c>
      <c r="F69" s="223">
        <f t="shared" si="3"/>
        <v>100</v>
      </c>
    </row>
    <row r="70" spans="1:6" ht="15" customHeight="1">
      <c r="A70" s="221" t="s">
        <v>626</v>
      </c>
      <c r="B70" s="226">
        <v>537</v>
      </c>
      <c r="C70" s="222">
        <v>537</v>
      </c>
      <c r="D70" s="222">
        <v>537</v>
      </c>
      <c r="E70" s="222">
        <f t="shared" si="0"/>
        <v>0</v>
      </c>
      <c r="F70" s="223">
        <f t="shared" si="3"/>
        <v>100</v>
      </c>
    </row>
    <row r="71" spans="1:6" ht="15" customHeight="1">
      <c r="A71" s="221" t="s">
        <v>632</v>
      </c>
      <c r="B71" s="222">
        <f>SUM(B72:B74)</f>
        <v>0</v>
      </c>
      <c r="C71" s="222">
        <f>SUM(C72:C74)</f>
        <v>80</v>
      </c>
      <c r="D71" s="222">
        <v>80</v>
      </c>
      <c r="E71" s="222">
        <f t="shared" si="0"/>
        <v>0</v>
      </c>
      <c r="F71" s="223">
        <f t="shared" si="3"/>
        <v>100</v>
      </c>
    </row>
    <row r="72" spans="1:6" ht="15" customHeight="1">
      <c r="A72" s="221" t="s">
        <v>839</v>
      </c>
      <c r="B72" s="222"/>
      <c r="C72" s="222"/>
      <c r="D72" s="222"/>
      <c r="E72" s="222">
        <f t="shared" si="0"/>
        <v>0</v>
      </c>
      <c r="F72" s="223" t="e">
        <f t="shared" si="3"/>
        <v>#DIV/0!</v>
      </c>
    </row>
    <row r="73" spans="1:6" ht="15" customHeight="1">
      <c r="A73" s="221" t="s">
        <v>840</v>
      </c>
      <c r="B73" s="222"/>
      <c r="C73" s="222"/>
      <c r="D73" s="222"/>
      <c r="E73" s="222">
        <f t="shared" si="0"/>
        <v>0</v>
      </c>
      <c r="F73" s="223" t="e">
        <f t="shared" si="3"/>
        <v>#DIV/0!</v>
      </c>
    </row>
    <row r="74" spans="1:6" ht="15" customHeight="1">
      <c r="A74" s="221" t="s">
        <v>841</v>
      </c>
      <c r="B74" s="222"/>
      <c r="C74" s="222">
        <v>80</v>
      </c>
      <c r="D74" s="222">
        <v>80</v>
      </c>
      <c r="E74" s="222">
        <f aca="true" t="shared" si="4" ref="E74:E123">SUM(E75:E77)</f>
        <v>0</v>
      </c>
      <c r="F74" s="223">
        <f t="shared" si="3"/>
        <v>100</v>
      </c>
    </row>
    <row r="75" spans="1:6" ht="15" customHeight="1">
      <c r="A75" s="221" t="s">
        <v>636</v>
      </c>
      <c r="B75" s="222">
        <f>SUM(B76)</f>
        <v>7350</v>
      </c>
      <c r="C75" s="222">
        <f>SUM(C76)</f>
        <v>8134</v>
      </c>
      <c r="D75" s="222">
        <v>8134</v>
      </c>
      <c r="E75" s="222">
        <f t="shared" si="4"/>
        <v>0</v>
      </c>
      <c r="F75" s="223">
        <f t="shared" si="3"/>
        <v>100</v>
      </c>
    </row>
    <row r="76" spans="1:6" ht="15" customHeight="1">
      <c r="A76" s="221" t="s">
        <v>638</v>
      </c>
      <c r="B76" s="226">
        <v>7350</v>
      </c>
      <c r="C76" s="222">
        <v>8134</v>
      </c>
      <c r="D76" s="222">
        <v>8134</v>
      </c>
      <c r="E76" s="222">
        <f t="shared" si="4"/>
        <v>0</v>
      </c>
      <c r="F76" s="223">
        <f t="shared" si="3"/>
        <v>100</v>
      </c>
    </row>
    <row r="77" spans="1:6" ht="15" customHeight="1">
      <c r="A77" s="221" t="s">
        <v>640</v>
      </c>
      <c r="B77" s="222">
        <f>SUM(B78)</f>
        <v>816</v>
      </c>
      <c r="C77" s="222">
        <f>SUM(C78)</f>
        <v>816</v>
      </c>
      <c r="D77" s="222">
        <v>816</v>
      </c>
      <c r="E77" s="222">
        <f t="shared" si="4"/>
        <v>0</v>
      </c>
      <c r="F77" s="223">
        <f t="shared" si="3"/>
        <v>100</v>
      </c>
    </row>
    <row r="78" spans="1:6" ht="15" customHeight="1">
      <c r="A78" s="221" t="s">
        <v>641</v>
      </c>
      <c r="B78" s="226">
        <v>816</v>
      </c>
      <c r="C78" s="222">
        <v>816</v>
      </c>
      <c r="D78" s="222">
        <v>816</v>
      </c>
      <c r="E78" s="222">
        <f t="shared" si="4"/>
        <v>0</v>
      </c>
      <c r="F78" s="223">
        <f t="shared" si="3"/>
        <v>100</v>
      </c>
    </row>
    <row r="79" spans="1:6" ht="15" customHeight="1">
      <c r="A79" s="221" t="s">
        <v>643</v>
      </c>
      <c r="B79" s="222">
        <f>SUM(B80)</f>
        <v>110</v>
      </c>
      <c r="C79" s="222">
        <f>SUM(C80)</f>
        <v>110</v>
      </c>
      <c r="D79" s="222">
        <v>110</v>
      </c>
      <c r="E79" s="222">
        <f t="shared" si="4"/>
        <v>0</v>
      </c>
      <c r="F79" s="223">
        <f t="shared" si="3"/>
        <v>100</v>
      </c>
    </row>
    <row r="80" spans="1:6" ht="15" customHeight="1">
      <c r="A80" s="221" t="s">
        <v>644</v>
      </c>
      <c r="B80" s="226">
        <v>110</v>
      </c>
      <c r="C80" s="222">
        <v>110</v>
      </c>
      <c r="D80" s="222">
        <v>110</v>
      </c>
      <c r="E80" s="222">
        <f t="shared" si="4"/>
        <v>0</v>
      </c>
      <c r="F80" s="223">
        <f t="shared" si="3"/>
        <v>100</v>
      </c>
    </row>
    <row r="81" spans="1:6" ht="15" customHeight="1">
      <c r="A81" s="221" t="s">
        <v>89</v>
      </c>
      <c r="B81" s="222">
        <f>SUM(B82,B85)</f>
        <v>13479</v>
      </c>
      <c r="C81" s="222">
        <f>SUM(C82,C85)</f>
        <v>13348</v>
      </c>
      <c r="D81" s="222">
        <f>SUM(D82,D85)</f>
        <v>13348</v>
      </c>
      <c r="E81" s="222">
        <f t="shared" si="4"/>
        <v>0</v>
      </c>
      <c r="F81" s="223">
        <f t="shared" si="3"/>
        <v>100</v>
      </c>
    </row>
    <row r="82" spans="1:6" ht="15" customHeight="1">
      <c r="A82" s="221" t="s">
        <v>657</v>
      </c>
      <c r="B82" s="222">
        <f>SUM(B83:B84)</f>
        <v>13472</v>
      </c>
      <c r="C82" s="222">
        <f>SUM(C83:C84)</f>
        <v>13341</v>
      </c>
      <c r="D82" s="222">
        <f>SUM(D83:D84)</f>
        <v>13341</v>
      </c>
      <c r="E82" s="222">
        <f t="shared" si="4"/>
        <v>0</v>
      </c>
      <c r="F82" s="223">
        <f t="shared" si="3"/>
        <v>100</v>
      </c>
    </row>
    <row r="83" spans="1:6" ht="15" customHeight="1">
      <c r="A83" s="221" t="s">
        <v>658</v>
      </c>
      <c r="B83" s="226">
        <v>58</v>
      </c>
      <c r="C83" s="222">
        <v>58</v>
      </c>
      <c r="D83" s="222">
        <v>58</v>
      </c>
      <c r="E83" s="222">
        <f t="shared" si="4"/>
        <v>0</v>
      </c>
      <c r="F83" s="223">
        <f t="shared" si="3"/>
        <v>100</v>
      </c>
    </row>
    <row r="84" spans="1:6" ht="15" customHeight="1">
      <c r="A84" s="221" t="s">
        <v>659</v>
      </c>
      <c r="B84" s="234">
        <v>13414</v>
      </c>
      <c r="C84" s="222">
        <v>13283</v>
      </c>
      <c r="D84" s="222">
        <v>13283</v>
      </c>
      <c r="E84" s="222">
        <f t="shared" si="4"/>
        <v>0</v>
      </c>
      <c r="F84" s="223">
        <f t="shared" si="3"/>
        <v>100</v>
      </c>
    </row>
    <row r="85" spans="1:6" ht="15" customHeight="1">
      <c r="A85" s="221" t="s">
        <v>842</v>
      </c>
      <c r="B85" s="232">
        <f>SUM(B86)</f>
        <v>7</v>
      </c>
      <c r="C85" s="232">
        <f>SUM(C86)</f>
        <v>7</v>
      </c>
      <c r="D85" s="232">
        <f>SUM(D86)</f>
        <v>7</v>
      </c>
      <c r="E85" s="222">
        <f t="shared" si="4"/>
        <v>0</v>
      </c>
      <c r="F85" s="223">
        <f t="shared" si="3"/>
        <v>100</v>
      </c>
    </row>
    <row r="86" spans="1:6" ht="15" customHeight="1">
      <c r="A86" s="221" t="s">
        <v>843</v>
      </c>
      <c r="B86" s="226">
        <v>7</v>
      </c>
      <c r="C86" s="230">
        <v>7</v>
      </c>
      <c r="D86" s="222">
        <v>7</v>
      </c>
      <c r="E86" s="222">
        <f t="shared" si="4"/>
        <v>0</v>
      </c>
      <c r="F86" s="223">
        <f t="shared" si="3"/>
        <v>100</v>
      </c>
    </row>
    <row r="87" spans="1:6" ht="15" customHeight="1">
      <c r="A87" s="221" t="s">
        <v>90</v>
      </c>
      <c r="B87" s="235">
        <f>SUM(B88,B90,B92,B94,B96)</f>
        <v>1411</v>
      </c>
      <c r="C87" s="235">
        <f>SUM(C88,C90,C92,C94,C96)</f>
        <v>8909.852006000001</v>
      </c>
      <c r="D87" s="235">
        <f>SUM(D88,D90,D92,D94,D96)</f>
        <v>8909.852006000001</v>
      </c>
      <c r="E87" s="222">
        <f t="shared" si="4"/>
        <v>0</v>
      </c>
      <c r="F87" s="223">
        <f t="shared" si="3"/>
        <v>100</v>
      </c>
    </row>
    <row r="88" spans="1:6" ht="15" customHeight="1">
      <c r="A88" s="221" t="s">
        <v>673</v>
      </c>
      <c r="B88" s="222">
        <f>SUM(B89)</f>
        <v>599</v>
      </c>
      <c r="C88" s="222">
        <f>SUM(C89)</f>
        <v>773</v>
      </c>
      <c r="D88" s="222">
        <f>SUM(D89)</f>
        <v>773</v>
      </c>
      <c r="E88" s="222">
        <f t="shared" si="4"/>
        <v>0</v>
      </c>
      <c r="F88" s="223">
        <f t="shared" si="3"/>
        <v>100</v>
      </c>
    </row>
    <row r="89" spans="1:6" ht="15" customHeight="1">
      <c r="A89" s="221" t="s">
        <v>675</v>
      </c>
      <c r="B89" s="234">
        <v>599</v>
      </c>
      <c r="C89" s="222">
        <v>773</v>
      </c>
      <c r="D89" s="222">
        <v>773</v>
      </c>
      <c r="E89" s="222">
        <f t="shared" si="4"/>
        <v>0</v>
      </c>
      <c r="F89" s="223">
        <f t="shared" si="3"/>
        <v>100</v>
      </c>
    </row>
    <row r="90" spans="1:6" ht="15" customHeight="1">
      <c r="A90" s="221" t="s">
        <v>677</v>
      </c>
      <c r="B90" s="232">
        <f>SUM(B91)</f>
        <v>0</v>
      </c>
      <c r="C90" s="236">
        <f>SUM(C91)</f>
        <v>2000</v>
      </c>
      <c r="D90" s="236">
        <f>SUM(D91)</f>
        <v>2000</v>
      </c>
      <c r="E90" s="222">
        <f t="shared" si="4"/>
        <v>0</v>
      </c>
      <c r="F90" s="223">
        <f t="shared" si="3"/>
        <v>100</v>
      </c>
    </row>
    <row r="91" spans="1:6" ht="15" customHeight="1">
      <c r="A91" s="221" t="s">
        <v>678</v>
      </c>
      <c r="B91" s="232"/>
      <c r="C91" s="230">
        <v>2000</v>
      </c>
      <c r="D91" s="222">
        <v>2000</v>
      </c>
      <c r="E91" s="222">
        <f t="shared" si="4"/>
        <v>0</v>
      </c>
      <c r="F91" s="223">
        <f t="shared" si="3"/>
        <v>100</v>
      </c>
    </row>
    <row r="92" spans="1:6" ht="15" customHeight="1">
      <c r="A92" s="222" t="s">
        <v>679</v>
      </c>
      <c r="B92" s="235">
        <f>SUM(B93)</f>
        <v>0</v>
      </c>
      <c r="C92" s="222">
        <f>SUM(C93)</f>
        <v>5108.852006</v>
      </c>
      <c r="D92" s="222">
        <f>SUM(D93)</f>
        <v>5108.852006</v>
      </c>
      <c r="E92" s="222">
        <f t="shared" si="4"/>
        <v>0</v>
      </c>
      <c r="F92" s="223">
        <f t="shared" si="3"/>
        <v>100</v>
      </c>
    </row>
    <row r="93" spans="1:6" ht="15" customHeight="1">
      <c r="A93" s="222" t="s">
        <v>681</v>
      </c>
      <c r="B93" s="222"/>
      <c r="C93" s="222">
        <f>4869.852006+239</f>
        <v>5108.852006</v>
      </c>
      <c r="D93" s="222">
        <f>4869.852006+239</f>
        <v>5108.852006</v>
      </c>
      <c r="E93" s="222">
        <f t="shared" si="4"/>
        <v>0</v>
      </c>
      <c r="F93" s="223">
        <f t="shared" si="3"/>
        <v>100</v>
      </c>
    </row>
    <row r="94" spans="1:6" ht="15" customHeight="1">
      <c r="A94" s="222" t="s">
        <v>682</v>
      </c>
      <c r="B94" s="222">
        <f>SUM(B95)</f>
        <v>812</v>
      </c>
      <c r="C94" s="222">
        <f>SUM(C95)</f>
        <v>960</v>
      </c>
      <c r="D94" s="222">
        <f>SUM(D95)</f>
        <v>960</v>
      </c>
      <c r="E94" s="222">
        <f t="shared" si="4"/>
        <v>0</v>
      </c>
      <c r="F94" s="223">
        <f t="shared" si="3"/>
        <v>100</v>
      </c>
    </row>
    <row r="95" spans="1:6" ht="15" customHeight="1">
      <c r="A95" s="221" t="s">
        <v>683</v>
      </c>
      <c r="B95" s="234">
        <v>812</v>
      </c>
      <c r="C95" s="222">
        <v>960</v>
      </c>
      <c r="D95" s="222">
        <v>960</v>
      </c>
      <c r="E95" s="222">
        <f t="shared" si="4"/>
        <v>0</v>
      </c>
      <c r="F95" s="223">
        <f t="shared" si="3"/>
        <v>100</v>
      </c>
    </row>
    <row r="96" spans="1:6" ht="15" customHeight="1">
      <c r="A96" s="221" t="s">
        <v>686</v>
      </c>
      <c r="B96" s="232">
        <f>SUM(B97)</f>
        <v>0</v>
      </c>
      <c r="C96" s="232">
        <f>SUM(C97)</f>
        <v>68</v>
      </c>
      <c r="D96" s="232">
        <f>SUM(D97)</f>
        <v>68</v>
      </c>
      <c r="E96" s="222">
        <f t="shared" si="4"/>
        <v>0</v>
      </c>
      <c r="F96" s="223">
        <f t="shared" si="3"/>
        <v>100</v>
      </c>
    </row>
    <row r="97" spans="1:6" ht="15" customHeight="1">
      <c r="A97" s="221" t="s">
        <v>687</v>
      </c>
      <c r="B97" s="232"/>
      <c r="C97" s="230">
        <f>50+18</f>
        <v>68</v>
      </c>
      <c r="D97" s="230">
        <f>50+18</f>
        <v>68</v>
      </c>
      <c r="E97" s="222">
        <f t="shared" si="4"/>
        <v>0</v>
      </c>
      <c r="F97" s="223">
        <f t="shared" si="3"/>
        <v>100</v>
      </c>
    </row>
    <row r="98" spans="1:6" ht="15" customHeight="1">
      <c r="A98" s="221" t="s">
        <v>91</v>
      </c>
      <c r="B98" s="235">
        <f>SUM(B99,B102,B105)</f>
        <v>103</v>
      </c>
      <c r="C98" s="222">
        <f>SUM(C99,C102,C105)</f>
        <v>230</v>
      </c>
      <c r="D98" s="222">
        <v>230</v>
      </c>
      <c r="E98" s="222">
        <f t="shared" si="4"/>
        <v>0</v>
      </c>
      <c r="F98" s="223">
        <f t="shared" si="3"/>
        <v>100</v>
      </c>
    </row>
    <row r="99" spans="1:6" ht="15" customHeight="1">
      <c r="A99" s="228" t="s">
        <v>844</v>
      </c>
      <c r="B99" s="222">
        <f>SUM(B100:B101)</f>
        <v>10</v>
      </c>
      <c r="C99" s="222">
        <f>SUM(C100:C101)</f>
        <v>20</v>
      </c>
      <c r="D99" s="222">
        <f>SUM(D100:D101)</f>
        <v>20</v>
      </c>
      <c r="E99" s="222">
        <f t="shared" si="4"/>
        <v>0</v>
      </c>
      <c r="F99" s="223">
        <f t="shared" si="3"/>
        <v>100</v>
      </c>
    </row>
    <row r="100" spans="1:6" ht="15" customHeight="1">
      <c r="A100" s="237" t="s">
        <v>694</v>
      </c>
      <c r="B100" s="238"/>
      <c r="C100" s="222">
        <v>10</v>
      </c>
      <c r="D100" s="222">
        <v>10</v>
      </c>
      <c r="E100" s="222">
        <f t="shared" si="4"/>
        <v>0</v>
      </c>
      <c r="F100" s="223">
        <f t="shared" si="3"/>
        <v>100</v>
      </c>
    </row>
    <row r="101" spans="1:6" ht="15" customHeight="1">
      <c r="A101" s="235" t="s">
        <v>845</v>
      </c>
      <c r="B101" s="226">
        <v>10</v>
      </c>
      <c r="C101" s="222">
        <v>10</v>
      </c>
      <c r="D101" s="222">
        <v>10</v>
      </c>
      <c r="E101" s="222">
        <f t="shared" si="4"/>
        <v>0</v>
      </c>
      <c r="F101" s="223">
        <f t="shared" si="3"/>
        <v>100</v>
      </c>
    </row>
    <row r="102" spans="1:6" ht="15" customHeight="1">
      <c r="A102" s="222" t="s">
        <v>711</v>
      </c>
      <c r="B102" s="222">
        <f>SUM(B103:B104)</f>
        <v>0</v>
      </c>
      <c r="C102" s="222">
        <f>SUM(C103:C104)</f>
        <v>0</v>
      </c>
      <c r="D102" s="222">
        <f>SUM(D103:D104)</f>
        <v>0</v>
      </c>
      <c r="E102" s="222">
        <f t="shared" si="4"/>
        <v>0</v>
      </c>
      <c r="F102" s="223" t="e">
        <f t="shared" si="3"/>
        <v>#DIV/0!</v>
      </c>
    </row>
    <row r="103" spans="1:6" ht="15" customHeight="1">
      <c r="A103" s="222" t="s">
        <v>716</v>
      </c>
      <c r="B103" s="222"/>
      <c r="C103" s="222"/>
      <c r="D103" s="222"/>
      <c r="E103" s="222">
        <f t="shared" si="4"/>
        <v>0</v>
      </c>
      <c r="F103" s="223" t="e">
        <f t="shared" si="3"/>
        <v>#DIV/0!</v>
      </c>
    </row>
    <row r="104" spans="1:6" ht="15" customHeight="1">
      <c r="A104" s="222" t="s">
        <v>718</v>
      </c>
      <c r="B104" s="222"/>
      <c r="C104" s="222"/>
      <c r="D104" s="222"/>
      <c r="E104" s="222">
        <f t="shared" si="4"/>
        <v>0</v>
      </c>
      <c r="F104" s="223" t="e">
        <f t="shared" si="3"/>
        <v>#DIV/0!</v>
      </c>
    </row>
    <row r="105" spans="1:6" ht="15" customHeight="1">
      <c r="A105" s="222" t="s">
        <v>722</v>
      </c>
      <c r="B105" s="222">
        <f>SUM(B106)</f>
        <v>93</v>
      </c>
      <c r="C105" s="222">
        <f>SUM(C106)</f>
        <v>210</v>
      </c>
      <c r="D105" s="222">
        <v>210</v>
      </c>
      <c r="E105" s="222">
        <f t="shared" si="4"/>
        <v>0</v>
      </c>
      <c r="F105" s="223">
        <f t="shared" si="3"/>
        <v>100</v>
      </c>
    </row>
    <row r="106" spans="1:6" ht="15" customHeight="1">
      <c r="A106" s="222" t="s">
        <v>723</v>
      </c>
      <c r="B106" s="226">
        <v>93</v>
      </c>
      <c r="C106" s="222">
        <v>210</v>
      </c>
      <c r="D106" s="222">
        <v>210</v>
      </c>
      <c r="E106" s="222">
        <f t="shared" si="4"/>
        <v>0</v>
      </c>
      <c r="F106" s="223">
        <f t="shared" si="3"/>
        <v>100</v>
      </c>
    </row>
    <row r="107" spans="1:6" ht="15" customHeight="1">
      <c r="A107" s="222" t="s">
        <v>742</v>
      </c>
      <c r="B107" s="222">
        <f>SUM(B108,B110,B112)</f>
        <v>0</v>
      </c>
      <c r="C107" s="222">
        <f>SUM(C108,C110,C112)</f>
        <v>110</v>
      </c>
      <c r="D107" s="222">
        <f>SUM(D108,D110,D112)</f>
        <v>110</v>
      </c>
      <c r="E107" s="222">
        <f t="shared" si="4"/>
        <v>0</v>
      </c>
      <c r="F107" s="223">
        <f t="shared" si="3"/>
        <v>100</v>
      </c>
    </row>
    <row r="108" spans="1:6" ht="15" customHeight="1">
      <c r="A108" s="222" t="s">
        <v>846</v>
      </c>
      <c r="B108" s="222">
        <f>SUM(B109)</f>
        <v>0</v>
      </c>
      <c r="C108" s="222">
        <f>SUM(C109)</f>
        <v>0</v>
      </c>
      <c r="D108" s="222">
        <f>SUM(D109)</f>
        <v>0</v>
      </c>
      <c r="E108" s="222">
        <f t="shared" si="4"/>
        <v>0</v>
      </c>
      <c r="F108" s="223" t="e">
        <f t="shared" si="3"/>
        <v>#DIV/0!</v>
      </c>
    </row>
    <row r="109" spans="1:6" ht="15" customHeight="1">
      <c r="A109" s="222" t="s">
        <v>847</v>
      </c>
      <c r="B109" s="222"/>
      <c r="C109" s="222"/>
      <c r="D109" s="222"/>
      <c r="E109" s="222">
        <f t="shared" si="4"/>
        <v>0</v>
      </c>
      <c r="F109" s="223" t="e">
        <f t="shared" si="3"/>
        <v>#DIV/0!</v>
      </c>
    </row>
    <row r="110" spans="1:6" ht="14.25" customHeight="1">
      <c r="A110" s="222" t="s">
        <v>746</v>
      </c>
      <c r="B110" s="222">
        <f>SUM(B111)</f>
        <v>0</v>
      </c>
      <c r="C110" s="222">
        <f>SUM(C111)</f>
        <v>0</v>
      </c>
      <c r="D110" s="222">
        <f>SUM(D111)</f>
        <v>0</v>
      </c>
      <c r="E110" s="222">
        <f t="shared" si="4"/>
        <v>0</v>
      </c>
      <c r="F110" s="223" t="e">
        <f t="shared" si="3"/>
        <v>#DIV/0!</v>
      </c>
    </row>
    <row r="111" spans="1:6" ht="14.25" customHeight="1">
      <c r="A111" s="222" t="s">
        <v>748</v>
      </c>
      <c r="B111" s="222"/>
      <c r="C111" s="222"/>
      <c r="D111" s="222"/>
      <c r="E111" s="222">
        <f t="shared" si="4"/>
        <v>0</v>
      </c>
      <c r="F111" s="223" t="e">
        <f t="shared" si="3"/>
        <v>#DIV/0!</v>
      </c>
    </row>
    <row r="112" spans="1:6" ht="15">
      <c r="A112" s="222" t="s">
        <v>752</v>
      </c>
      <c r="B112" s="222">
        <f>SUM(B113:B115)</f>
        <v>0</v>
      </c>
      <c r="C112" s="222">
        <f>SUM(C113:C115)</f>
        <v>110</v>
      </c>
      <c r="D112" s="222">
        <f>SUM(D113:D115)</f>
        <v>110</v>
      </c>
      <c r="E112" s="222">
        <f t="shared" si="4"/>
        <v>0</v>
      </c>
      <c r="F112" s="223">
        <f t="shared" si="3"/>
        <v>100</v>
      </c>
    </row>
    <row r="113" spans="1:6" ht="15">
      <c r="A113" s="222" t="s">
        <v>848</v>
      </c>
      <c r="B113" s="222"/>
      <c r="C113" s="222"/>
      <c r="D113" s="222"/>
      <c r="E113" s="222">
        <f t="shared" si="4"/>
        <v>0</v>
      </c>
      <c r="F113" s="223" t="e">
        <f t="shared" si="3"/>
        <v>#DIV/0!</v>
      </c>
    </row>
    <row r="114" spans="1:6" ht="15">
      <c r="A114" s="222" t="s">
        <v>754</v>
      </c>
      <c r="B114" s="222"/>
      <c r="C114" s="222"/>
      <c r="D114" s="222"/>
      <c r="E114" s="222">
        <f t="shared" si="4"/>
        <v>0</v>
      </c>
      <c r="F114" s="223" t="e">
        <f t="shared" si="3"/>
        <v>#DIV/0!</v>
      </c>
    </row>
    <row r="115" spans="1:6" ht="15">
      <c r="A115" s="222" t="s">
        <v>755</v>
      </c>
      <c r="B115" s="222"/>
      <c r="C115" s="222">
        <v>110</v>
      </c>
      <c r="D115" s="222">
        <v>110</v>
      </c>
      <c r="E115" s="222">
        <f t="shared" si="4"/>
        <v>0</v>
      </c>
      <c r="F115" s="223">
        <f t="shared" si="3"/>
        <v>100</v>
      </c>
    </row>
    <row r="116" spans="1:6" ht="15">
      <c r="A116" s="221" t="s">
        <v>114</v>
      </c>
      <c r="B116" s="222">
        <f>SUM(B117,B119)</f>
        <v>0</v>
      </c>
      <c r="C116" s="222">
        <f>SUM(C117,C119)</f>
        <v>30</v>
      </c>
      <c r="D116" s="222">
        <f>SUM(D117,D119)</f>
        <v>30</v>
      </c>
      <c r="E116" s="222">
        <f t="shared" si="4"/>
        <v>0</v>
      </c>
      <c r="F116" s="223">
        <f t="shared" si="3"/>
        <v>100</v>
      </c>
    </row>
    <row r="117" spans="1:6" ht="15">
      <c r="A117" s="221" t="s">
        <v>798</v>
      </c>
      <c r="B117" s="222">
        <f>SUM(B118)</f>
        <v>0</v>
      </c>
      <c r="C117" s="222">
        <f>SUM(C118)</f>
        <v>24</v>
      </c>
      <c r="D117" s="222">
        <f>SUM(D118)</f>
        <v>24</v>
      </c>
      <c r="E117" s="222">
        <f t="shared" si="4"/>
        <v>0</v>
      </c>
      <c r="F117" s="223">
        <f t="shared" si="3"/>
        <v>100</v>
      </c>
    </row>
    <row r="118" spans="1:6" ht="15">
      <c r="A118" s="221" t="s">
        <v>801</v>
      </c>
      <c r="B118" s="222"/>
      <c r="C118" s="222">
        <v>24</v>
      </c>
      <c r="D118" s="222">
        <v>24</v>
      </c>
      <c r="E118" s="222">
        <f t="shared" si="4"/>
        <v>0</v>
      </c>
      <c r="F118" s="223">
        <f t="shared" si="3"/>
        <v>100</v>
      </c>
    </row>
    <row r="119" spans="1:6" ht="15">
      <c r="A119" s="221" t="s">
        <v>849</v>
      </c>
      <c r="B119" s="222">
        <f>SUM(B120)</f>
        <v>0</v>
      </c>
      <c r="C119" s="222">
        <f>SUM(C120)</f>
        <v>6</v>
      </c>
      <c r="D119" s="222">
        <f>SUM(D120)</f>
        <v>6</v>
      </c>
      <c r="E119" s="222">
        <f t="shared" si="4"/>
        <v>0</v>
      </c>
      <c r="F119" s="223">
        <f t="shared" si="3"/>
        <v>100</v>
      </c>
    </row>
    <row r="120" spans="1:6" ht="15">
      <c r="A120" s="221" t="s">
        <v>850</v>
      </c>
      <c r="B120" s="222"/>
      <c r="C120" s="222">
        <v>6</v>
      </c>
      <c r="D120" s="222">
        <v>6</v>
      </c>
      <c r="E120" s="222">
        <f t="shared" si="4"/>
        <v>0</v>
      </c>
      <c r="F120" s="223">
        <f t="shared" si="3"/>
        <v>100</v>
      </c>
    </row>
    <row r="121" spans="1:6" ht="15">
      <c r="A121" s="222" t="s">
        <v>102</v>
      </c>
      <c r="B121" s="222">
        <f>SUM(B122)</f>
        <v>0</v>
      </c>
      <c r="C121" s="222">
        <f>SUM(C122)</f>
        <v>0</v>
      </c>
      <c r="D121" s="222">
        <v>0</v>
      </c>
      <c r="E121" s="222">
        <f t="shared" si="4"/>
        <v>0</v>
      </c>
      <c r="F121" s="223" t="e">
        <f t="shared" si="3"/>
        <v>#DIV/0!</v>
      </c>
    </row>
    <row r="122" spans="1:6" ht="15">
      <c r="A122" s="222" t="s">
        <v>815</v>
      </c>
      <c r="B122" s="222">
        <f>SUM(B123)</f>
        <v>0</v>
      </c>
      <c r="C122" s="222">
        <f>SUM(C123)</f>
        <v>0</v>
      </c>
      <c r="D122" s="222">
        <v>0</v>
      </c>
      <c r="E122" s="222">
        <f t="shared" si="4"/>
        <v>0</v>
      </c>
      <c r="F122" s="223" t="e">
        <f t="shared" si="3"/>
        <v>#DIV/0!</v>
      </c>
    </row>
    <row r="123" spans="1:6" ht="15">
      <c r="A123" s="222" t="s">
        <v>816</v>
      </c>
      <c r="B123" s="222"/>
      <c r="C123" s="222"/>
      <c r="D123" s="222"/>
      <c r="E123" s="222">
        <f t="shared" si="4"/>
        <v>0</v>
      </c>
      <c r="F123" s="223" t="e">
        <f t="shared" si="3"/>
        <v>#DIV/0!</v>
      </c>
    </row>
    <row r="124" spans="1:6" ht="15">
      <c r="A124" s="222" t="s">
        <v>103</v>
      </c>
      <c r="B124" s="222">
        <f aca="true" t="shared" si="5" ref="B124:D125">SUM(B125)</f>
        <v>161610</v>
      </c>
      <c r="C124" s="222">
        <f t="shared" si="5"/>
        <v>141027</v>
      </c>
      <c r="D124" s="222">
        <f t="shared" si="5"/>
        <v>141027</v>
      </c>
      <c r="E124" s="222">
        <f aca="true" t="shared" si="6" ref="E124:E129">SUM(E125:E127)</f>
        <v>0</v>
      </c>
      <c r="F124" s="223">
        <f t="shared" si="3"/>
        <v>100</v>
      </c>
    </row>
    <row r="125" spans="1:6" ht="15">
      <c r="A125" s="222" t="s">
        <v>851</v>
      </c>
      <c r="B125" s="222">
        <f t="shared" si="5"/>
        <v>161610</v>
      </c>
      <c r="C125" s="222">
        <f t="shared" si="5"/>
        <v>141027</v>
      </c>
      <c r="D125" s="222">
        <f t="shared" si="5"/>
        <v>141027</v>
      </c>
      <c r="E125" s="222">
        <f t="shared" si="6"/>
        <v>0</v>
      </c>
      <c r="F125" s="223">
        <f t="shared" si="3"/>
        <v>100</v>
      </c>
    </row>
    <row r="126" spans="1:6" ht="15">
      <c r="A126" s="228" t="s">
        <v>852</v>
      </c>
      <c r="B126" s="234">
        <v>161610</v>
      </c>
      <c r="C126" s="228">
        <f>141035-8+8000-8000</f>
        <v>141027</v>
      </c>
      <c r="D126" s="228">
        <f>141035-8</f>
        <v>141027</v>
      </c>
      <c r="E126" s="228">
        <f t="shared" si="6"/>
        <v>0</v>
      </c>
      <c r="F126" s="239">
        <f t="shared" si="3"/>
        <v>100</v>
      </c>
    </row>
    <row r="127" spans="1:6" ht="15">
      <c r="A127" s="229" t="s">
        <v>103</v>
      </c>
      <c r="B127" s="222">
        <f aca="true" t="shared" si="7" ref="B127:D128">SUM(B128)</f>
        <v>0</v>
      </c>
      <c r="C127" s="222">
        <f t="shared" si="7"/>
        <v>8000</v>
      </c>
      <c r="D127" s="222">
        <f t="shared" si="7"/>
        <v>8000</v>
      </c>
      <c r="E127" s="228">
        <f t="shared" si="6"/>
        <v>0</v>
      </c>
      <c r="F127" s="239">
        <f t="shared" si="3"/>
        <v>100</v>
      </c>
    </row>
    <row r="128" spans="1:6" ht="15">
      <c r="A128" s="229" t="s">
        <v>853</v>
      </c>
      <c r="B128" s="222">
        <f t="shared" si="7"/>
        <v>0</v>
      </c>
      <c r="C128" s="222">
        <f t="shared" si="7"/>
        <v>8000</v>
      </c>
      <c r="D128" s="222">
        <f t="shared" si="7"/>
        <v>8000</v>
      </c>
      <c r="E128" s="228">
        <f t="shared" si="6"/>
        <v>0</v>
      </c>
      <c r="F128" s="239">
        <f>D128/C128*100</f>
        <v>100</v>
      </c>
    </row>
    <row r="129" spans="1:6" ht="15">
      <c r="A129" s="229" t="s">
        <v>854</v>
      </c>
      <c r="B129" s="222"/>
      <c r="C129" s="222">
        <v>8000</v>
      </c>
      <c r="D129" s="240">
        <v>8000</v>
      </c>
      <c r="E129" s="229">
        <f t="shared" si="6"/>
        <v>0</v>
      </c>
      <c r="F129" s="223">
        <f>D129/C129*100</f>
        <v>100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47"/>
  <sheetViews>
    <sheetView workbookViewId="0" topLeftCell="A1">
      <selection activeCell="A1" sqref="A1:IV16384"/>
    </sheetView>
  </sheetViews>
  <sheetFormatPr defaultColWidth="9.00390625" defaultRowHeight="14.25"/>
  <cols>
    <col min="1" max="1" width="38.625" style="186" customWidth="1"/>
    <col min="2" max="3" width="12.75390625" style="186" bestFit="1" customWidth="1"/>
    <col min="4" max="4" width="32.75390625" style="186" bestFit="1" customWidth="1"/>
    <col min="5" max="5" width="16.75390625" style="186" customWidth="1"/>
    <col min="6" max="6" width="17.625" style="186" customWidth="1"/>
    <col min="7" max="7" width="9.00390625" style="186" customWidth="1"/>
    <col min="8" max="8" width="9.50390625" style="186" bestFit="1" customWidth="1"/>
    <col min="9" max="16384" width="9.00390625" style="186" customWidth="1"/>
  </cols>
  <sheetData>
    <row r="1" spans="1:5" ht="15">
      <c r="A1" s="187" t="s">
        <v>855</v>
      </c>
      <c r="B1" s="187"/>
      <c r="C1" s="187"/>
      <c r="D1" s="188"/>
      <c r="E1" s="188"/>
    </row>
    <row r="2" spans="1:6" ht="20.25">
      <c r="A2" s="379" t="s">
        <v>856</v>
      </c>
      <c r="B2" s="379"/>
      <c r="C2" s="379"/>
      <c r="D2" s="379"/>
      <c r="E2" s="379"/>
      <c r="F2" s="379"/>
    </row>
    <row r="3" spans="1:6" ht="15">
      <c r="A3" s="189"/>
      <c r="B3" s="189"/>
      <c r="C3" s="189"/>
      <c r="D3" s="189"/>
      <c r="E3" s="190"/>
      <c r="F3" s="190" t="s">
        <v>6</v>
      </c>
    </row>
    <row r="4" spans="1:6" s="185" customFormat="1" ht="24" customHeight="1">
      <c r="A4" s="191" t="s">
        <v>857</v>
      </c>
      <c r="B4" s="191" t="s">
        <v>8</v>
      </c>
      <c r="C4" s="191" t="s">
        <v>9</v>
      </c>
      <c r="D4" s="191" t="s">
        <v>857</v>
      </c>
      <c r="E4" s="191" t="s">
        <v>8</v>
      </c>
      <c r="F4" s="191" t="s">
        <v>9</v>
      </c>
    </row>
    <row r="5" spans="1:6" s="185" customFormat="1" ht="24" customHeight="1">
      <c r="A5" s="201" t="s">
        <v>858</v>
      </c>
      <c r="B5" s="191">
        <f>SUM(B6,B11,B22,B30,E6,E9,E15)</f>
        <v>280000</v>
      </c>
      <c r="C5" s="191">
        <f>SUM(C6,C11,C22,C30,F6,F9,F15)</f>
        <v>290497</v>
      </c>
      <c r="D5" s="196" t="s">
        <v>859</v>
      </c>
      <c r="E5" s="193">
        <v>0</v>
      </c>
      <c r="F5" s="193">
        <v>0</v>
      </c>
    </row>
    <row r="6" spans="1:6" s="185" customFormat="1" ht="24" customHeight="1">
      <c r="A6" s="192" t="s">
        <v>860</v>
      </c>
      <c r="B6" s="193">
        <f>SUM(B7:B10)</f>
        <v>67154</v>
      </c>
      <c r="C6" s="193">
        <f>SUM(C7:C10)</f>
        <v>67554</v>
      </c>
      <c r="D6" s="192" t="s">
        <v>861</v>
      </c>
      <c r="E6" s="195">
        <v>71</v>
      </c>
      <c r="F6" s="195">
        <v>71</v>
      </c>
    </row>
    <row r="7" spans="1:6" s="185" customFormat="1" ht="24" customHeight="1">
      <c r="A7" s="196" t="s">
        <v>862</v>
      </c>
      <c r="B7" s="195">
        <v>35641</v>
      </c>
      <c r="C7" s="193">
        <f>35977</f>
        <v>35977</v>
      </c>
      <c r="D7" s="196" t="s">
        <v>863</v>
      </c>
      <c r="E7" s="195">
        <v>71</v>
      </c>
      <c r="F7" s="195">
        <v>71</v>
      </c>
    </row>
    <row r="8" spans="1:6" s="185" customFormat="1" ht="24" customHeight="1">
      <c r="A8" s="196" t="s">
        <v>864</v>
      </c>
      <c r="B8" s="195">
        <v>11927</v>
      </c>
      <c r="C8" s="193">
        <v>11927</v>
      </c>
      <c r="D8" s="196" t="s">
        <v>865</v>
      </c>
      <c r="E8" s="193">
        <v>0</v>
      </c>
      <c r="F8" s="193">
        <v>0</v>
      </c>
    </row>
    <row r="9" spans="1:6" s="185" customFormat="1" ht="24" customHeight="1">
      <c r="A9" s="196" t="s">
        <v>866</v>
      </c>
      <c r="B9" s="195">
        <v>19030</v>
      </c>
      <c r="C9" s="193">
        <v>19094</v>
      </c>
      <c r="D9" s="192" t="s">
        <v>867</v>
      </c>
      <c r="E9" s="195">
        <f>SUM(E10:E14)</f>
        <v>4240</v>
      </c>
      <c r="F9" s="195">
        <f>SUM(F10:F14)</f>
        <v>4249</v>
      </c>
    </row>
    <row r="10" spans="1:6" s="185" customFormat="1" ht="24" customHeight="1">
      <c r="A10" s="196" t="s">
        <v>868</v>
      </c>
      <c r="B10" s="195">
        <v>556</v>
      </c>
      <c r="C10" s="193">
        <v>556</v>
      </c>
      <c r="D10" s="196" t="s">
        <v>869</v>
      </c>
      <c r="E10" s="195">
        <v>1478</v>
      </c>
      <c r="F10" s="193">
        <v>1478</v>
      </c>
    </row>
    <row r="11" spans="1:6" s="185" customFormat="1" ht="24" customHeight="1">
      <c r="A11" s="192" t="s">
        <v>870</v>
      </c>
      <c r="B11" s="193">
        <f>SUM(B12:B21)</f>
        <v>21296</v>
      </c>
      <c r="C11" s="193">
        <f>SUM(C12:C21)</f>
        <v>21295</v>
      </c>
      <c r="D11" s="196" t="s">
        <v>871</v>
      </c>
      <c r="E11" s="195">
        <v>2</v>
      </c>
      <c r="F11" s="193">
        <v>2</v>
      </c>
    </row>
    <row r="12" spans="1:6" s="185" customFormat="1" ht="24" customHeight="1">
      <c r="A12" s="196" t="s">
        <v>872</v>
      </c>
      <c r="B12" s="195">
        <v>11668</v>
      </c>
      <c r="C12" s="193">
        <v>11668</v>
      </c>
      <c r="D12" s="196" t="s">
        <v>873</v>
      </c>
      <c r="E12" s="193">
        <v>0</v>
      </c>
      <c r="F12" s="193">
        <v>0</v>
      </c>
    </row>
    <row r="13" spans="1:6" s="185" customFormat="1" ht="24" customHeight="1">
      <c r="A13" s="196" t="s">
        <v>874</v>
      </c>
      <c r="B13" s="195">
        <v>18</v>
      </c>
      <c r="C13" s="193">
        <v>18</v>
      </c>
      <c r="D13" s="196" t="s">
        <v>875</v>
      </c>
      <c r="E13" s="195">
        <v>2714</v>
      </c>
      <c r="F13" s="193">
        <v>2723</v>
      </c>
    </row>
    <row r="14" spans="1:6" s="185" customFormat="1" ht="24" customHeight="1">
      <c r="A14" s="196" t="s">
        <v>876</v>
      </c>
      <c r="B14" s="195">
        <v>156</v>
      </c>
      <c r="C14" s="193">
        <v>156</v>
      </c>
      <c r="D14" s="196" t="s">
        <v>877</v>
      </c>
      <c r="E14" s="195">
        <v>46</v>
      </c>
      <c r="F14" s="193">
        <v>46</v>
      </c>
    </row>
    <row r="15" spans="1:6" s="185" customFormat="1" ht="24" customHeight="1">
      <c r="A15" s="196" t="s">
        <v>878</v>
      </c>
      <c r="B15" s="195">
        <v>585</v>
      </c>
      <c r="C15" s="193">
        <v>585</v>
      </c>
      <c r="D15" s="192" t="s">
        <v>879</v>
      </c>
      <c r="E15" s="193">
        <f>SUM(E16:E17)</f>
        <v>50431</v>
      </c>
      <c r="F15" s="193">
        <v>60430</v>
      </c>
    </row>
    <row r="16" spans="1:6" s="185" customFormat="1" ht="24" customHeight="1">
      <c r="A16" s="196" t="s">
        <v>880</v>
      </c>
      <c r="B16" s="195">
        <v>7960</v>
      </c>
      <c r="C16" s="193">
        <v>7960</v>
      </c>
      <c r="D16" s="196" t="s">
        <v>881</v>
      </c>
      <c r="E16" s="193"/>
      <c r="F16" s="197"/>
    </row>
    <row r="17" spans="1:6" s="185" customFormat="1" ht="24" customHeight="1">
      <c r="A17" s="196" t="s">
        <v>882</v>
      </c>
      <c r="B17" s="195">
        <v>5</v>
      </c>
      <c r="C17" s="193">
        <v>4</v>
      </c>
      <c r="D17" s="196" t="s">
        <v>883</v>
      </c>
      <c r="E17" s="195">
        <v>50431</v>
      </c>
      <c r="F17" s="193">
        <v>60430</v>
      </c>
    </row>
    <row r="18" spans="1:6" s="185" customFormat="1" ht="24" customHeight="1">
      <c r="A18" s="196" t="s">
        <v>884</v>
      </c>
      <c r="B18" s="193">
        <v>0</v>
      </c>
      <c r="C18" s="193">
        <v>0</v>
      </c>
      <c r="D18" s="202" t="s">
        <v>885</v>
      </c>
      <c r="E18" s="203">
        <f>SUM(E19:E30)</f>
        <v>269098.98999999993</v>
      </c>
      <c r="F18" s="203">
        <f>SUM(F19:F30)</f>
        <v>554908</v>
      </c>
    </row>
    <row r="19" spans="1:6" s="185" customFormat="1" ht="24" customHeight="1">
      <c r="A19" s="196" t="s">
        <v>886</v>
      </c>
      <c r="B19" s="195">
        <v>147</v>
      </c>
      <c r="C19" s="193">
        <v>147</v>
      </c>
      <c r="D19" s="192" t="s">
        <v>887</v>
      </c>
      <c r="E19" s="199">
        <v>253.01999999998952</v>
      </c>
      <c r="F19" s="193">
        <v>1406</v>
      </c>
    </row>
    <row r="20" spans="1:6" s="185" customFormat="1" ht="24.75" customHeight="1">
      <c r="A20" s="194" t="s">
        <v>888</v>
      </c>
      <c r="B20" s="195">
        <v>597</v>
      </c>
      <c r="C20" s="193">
        <v>597</v>
      </c>
      <c r="D20" s="192" t="s">
        <v>889</v>
      </c>
      <c r="E20" s="199">
        <v>68358.03000000001</v>
      </c>
      <c r="F20" s="204">
        <f>147774+8105</f>
        <v>155879</v>
      </c>
    </row>
    <row r="21" spans="1:6" s="185" customFormat="1" ht="24.75" customHeight="1">
      <c r="A21" s="196" t="s">
        <v>890</v>
      </c>
      <c r="B21" s="195">
        <v>160</v>
      </c>
      <c r="C21" s="193">
        <v>160</v>
      </c>
      <c r="D21" s="192" t="s">
        <v>891</v>
      </c>
      <c r="E21" s="199">
        <v>22531.660000000003</v>
      </c>
      <c r="F21" s="193">
        <f>70471+5108</f>
        <v>75579</v>
      </c>
    </row>
    <row r="22" spans="1:6" s="185" customFormat="1" ht="24.75" customHeight="1">
      <c r="A22" s="192" t="s">
        <v>892</v>
      </c>
      <c r="B22" s="193">
        <v>1193</v>
      </c>
      <c r="C22" s="193">
        <v>1193</v>
      </c>
      <c r="D22" s="192" t="s">
        <v>893</v>
      </c>
      <c r="E22" s="199">
        <v>75.83</v>
      </c>
      <c r="F22" s="193">
        <v>106</v>
      </c>
    </row>
    <row r="23" spans="1:6" s="185" customFormat="1" ht="24.75" customHeight="1">
      <c r="A23" s="194" t="s">
        <v>894</v>
      </c>
      <c r="B23" s="193">
        <v>0</v>
      </c>
      <c r="C23" s="193">
        <v>0</v>
      </c>
      <c r="D23" s="192" t="s">
        <v>895</v>
      </c>
      <c r="E23" s="199">
        <v>19659.139999999956</v>
      </c>
      <c r="F23" s="193">
        <f>38666+2285</f>
        <v>40951</v>
      </c>
    </row>
    <row r="24" spans="1:6" s="185" customFormat="1" ht="24.75" customHeight="1">
      <c r="A24" s="194" t="s">
        <v>896</v>
      </c>
      <c r="B24" s="193">
        <v>0</v>
      </c>
      <c r="C24" s="193">
        <v>0</v>
      </c>
      <c r="D24" s="192" t="s">
        <v>897</v>
      </c>
      <c r="E24" s="199">
        <v>35530.310000000005</v>
      </c>
      <c r="F24" s="193">
        <f>35410+24065</f>
        <v>59475</v>
      </c>
    </row>
    <row r="25" spans="1:6" s="185" customFormat="1" ht="24.75" customHeight="1">
      <c r="A25" s="194" t="s">
        <v>898</v>
      </c>
      <c r="B25" s="193">
        <v>0</v>
      </c>
      <c r="C25" s="193">
        <v>0</v>
      </c>
      <c r="D25" s="192" t="s">
        <v>899</v>
      </c>
      <c r="E25" s="199">
        <v>42258.34</v>
      </c>
      <c r="F25" s="193">
        <f>92996+3141</f>
        <v>96137</v>
      </c>
    </row>
    <row r="26" spans="1:6" s="185" customFormat="1" ht="24.75" customHeight="1">
      <c r="A26" s="194" t="s">
        <v>900</v>
      </c>
      <c r="B26" s="193">
        <v>0</v>
      </c>
      <c r="C26" s="193">
        <v>0</v>
      </c>
      <c r="D26" s="192" t="s">
        <v>901</v>
      </c>
      <c r="E26" s="199"/>
      <c r="F26" s="193">
        <v>28</v>
      </c>
    </row>
    <row r="27" spans="1:6" s="185" customFormat="1" ht="24.75" customHeight="1">
      <c r="A27" s="194" t="s">
        <v>902</v>
      </c>
      <c r="B27" s="193">
        <v>1193</v>
      </c>
      <c r="C27" s="193">
        <v>1193</v>
      </c>
      <c r="D27" s="192" t="s">
        <v>903</v>
      </c>
      <c r="E27" s="199">
        <v>31783.979999999996</v>
      </c>
      <c r="F27" s="193">
        <v>60169</v>
      </c>
    </row>
    <row r="28" spans="1:6" s="185" customFormat="1" ht="24.75" customHeight="1">
      <c r="A28" s="194" t="s">
        <v>904</v>
      </c>
      <c r="B28" s="193">
        <v>0</v>
      </c>
      <c r="C28" s="193">
        <v>0</v>
      </c>
      <c r="D28" s="192" t="s">
        <v>905</v>
      </c>
      <c r="E28" s="199">
        <v>32074.24</v>
      </c>
      <c r="F28" s="193">
        <v>48003</v>
      </c>
    </row>
    <row r="29" spans="1:6" s="185" customFormat="1" ht="24.75" customHeight="1">
      <c r="A29" s="194" t="s">
        <v>906</v>
      </c>
      <c r="B29" s="193">
        <v>0</v>
      </c>
      <c r="C29" s="193">
        <v>0</v>
      </c>
      <c r="D29" s="192" t="s">
        <v>907</v>
      </c>
      <c r="E29" s="81">
        <v>14324</v>
      </c>
      <c r="F29" s="81">
        <v>14375</v>
      </c>
    </row>
    <row r="30" spans="1:6" s="185" customFormat="1" ht="24.75" customHeight="1">
      <c r="A30" s="192" t="s">
        <v>908</v>
      </c>
      <c r="B30" s="193">
        <f>SUM(B31:B32)</f>
        <v>135615</v>
      </c>
      <c r="C30" s="193">
        <f>C31+C32+F5</f>
        <v>135705</v>
      </c>
      <c r="D30" s="192" t="s">
        <v>909</v>
      </c>
      <c r="E30" s="199">
        <v>2250.44</v>
      </c>
      <c r="F30" s="193">
        <v>2800</v>
      </c>
    </row>
    <row r="31" spans="1:6" s="185" customFormat="1" ht="24.75" customHeight="1">
      <c r="A31" s="196" t="s">
        <v>910</v>
      </c>
      <c r="B31" s="195">
        <v>121821</v>
      </c>
      <c r="C31" s="193">
        <v>121911</v>
      </c>
      <c r="D31" s="192"/>
      <c r="E31" s="199"/>
      <c r="F31" s="193"/>
    </row>
    <row r="32" spans="1:6" s="185" customFormat="1" ht="24.75" customHeight="1">
      <c r="A32" s="196" t="s">
        <v>911</v>
      </c>
      <c r="B32" s="195">
        <v>13794</v>
      </c>
      <c r="C32" s="193">
        <v>13794</v>
      </c>
      <c r="D32" s="191" t="s">
        <v>67</v>
      </c>
      <c r="E32" s="193">
        <f>B5+E18</f>
        <v>549098.99</v>
      </c>
      <c r="F32" s="193">
        <f>C5+F18</f>
        <v>845405</v>
      </c>
    </row>
    <row r="33" spans="1:5" s="185" customFormat="1" ht="15">
      <c r="A33" s="200" t="s">
        <v>912</v>
      </c>
      <c r="B33" s="186"/>
      <c r="C33" s="186"/>
      <c r="D33" s="186"/>
      <c r="E33" s="186"/>
    </row>
    <row r="34" spans="1:5" s="185" customFormat="1" ht="15">
      <c r="A34" s="186"/>
      <c r="B34" s="186"/>
      <c r="C34" s="186"/>
      <c r="D34" s="186"/>
      <c r="E34" s="186"/>
    </row>
    <row r="35" spans="1:5" s="185" customFormat="1" ht="15">
      <c r="A35" s="186"/>
      <c r="B35" s="186"/>
      <c r="C35" s="186"/>
      <c r="D35" s="186"/>
      <c r="E35" s="186"/>
    </row>
    <row r="36" ht="15">
      <c r="F36" s="185"/>
    </row>
    <row r="37" ht="15">
      <c r="F37" s="185"/>
    </row>
    <row r="38" ht="15">
      <c r="F38" s="185"/>
    </row>
    <row r="39" ht="15">
      <c r="F39" s="185"/>
    </row>
    <row r="40" ht="15">
      <c r="F40" s="185"/>
    </row>
    <row r="41" ht="15">
      <c r="F41" s="185"/>
    </row>
    <row r="42" ht="15">
      <c r="F42" s="185"/>
    </row>
    <row r="43" ht="15">
      <c r="F43" s="185"/>
    </row>
    <row r="44" ht="15">
      <c r="F44" s="185"/>
    </row>
    <row r="45" ht="15">
      <c r="F45" s="185"/>
    </row>
    <row r="46" ht="15">
      <c r="F46" s="185"/>
    </row>
    <row r="47" ht="15">
      <c r="F47" s="185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何倩</cp:lastModifiedBy>
  <cp:lastPrinted>2016-12-05T11:13:35Z</cp:lastPrinted>
  <dcterms:created xsi:type="dcterms:W3CDTF">1996-12-17T01:32:42Z</dcterms:created>
  <dcterms:modified xsi:type="dcterms:W3CDTF">2019-11-12T07:33:37Z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E9D7D46C600D44F1AE786C4CBA7D0903_13</vt:lpwstr>
  </property>
  <property fmtid="{D5CDD505-2E9C-101B-9397-08002B2CF9AE}" pid="3" name="KSOProductBuildVer">
    <vt:lpwstr>2052-11.1.0.14036</vt:lpwstr>
  </property>
</Properties>
</file>